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7052D228-72B8-4D39-A807-D30DC56673A9}" xr6:coauthVersionLast="47" xr6:coauthVersionMax="47" xr10:uidLastSave="{00000000-0000-0000-0000-000000000000}"/>
  <bookViews>
    <workbookView xWindow="1215" yWindow="150"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0" i="5" l="1"/>
  <c r="AE41" i="5"/>
  <c r="AE39" i="5"/>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C24" i="15"/>
  <c r="I33"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6" i="5"/>
  <c r="AE66" i="5"/>
  <c r="AE42" i="5"/>
  <c r="AE57" i="5"/>
  <c r="BD29" i="5"/>
  <c r="BD50" i="5"/>
  <c r="BD48" i="5"/>
  <c r="BD42" i="5"/>
  <c r="AE31" i="5"/>
  <c r="AE64" i="5"/>
  <c r="AE84" i="5"/>
  <c r="BD53" i="5"/>
  <c r="BD47" i="5"/>
  <c r="BD49" i="5"/>
  <c r="AE28" i="5"/>
  <c r="H32" i="5"/>
  <c r="AE36" i="5"/>
  <c r="BD40" i="5"/>
  <c r="D32" i="5"/>
  <c r="E32" i="5"/>
  <c r="AE34" i="5"/>
  <c r="AE53" i="5"/>
  <c r="B44" i="22"/>
  <c r="AE78" i="5"/>
  <c r="AE33" i="5"/>
  <c r="BD36" i="5"/>
  <c r="AE47" i="5"/>
  <c r="AE83" i="5"/>
  <c r="BD27" i="5"/>
  <c r="BD55" i="5"/>
  <c r="C32" i="5" l="1"/>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9" i="15" l="1"/>
  <c r="F30" i="15"/>
  <c r="F31" i="15"/>
  <c r="F33" i="15"/>
  <c r="Z27" i="15"/>
  <c r="Z24" i="15" s="1"/>
  <c r="AE27" i="15"/>
  <c r="AE24" i="15" s="1"/>
  <c r="F28" i="15"/>
  <c r="N27" i="15"/>
  <c r="R27" i="15"/>
  <c r="R24" i="15" s="1"/>
  <c r="D24" i="15"/>
  <c r="V27" i="15" l="1"/>
  <c r="V24" i="15" s="1"/>
  <c r="AC28" i="15"/>
  <c r="E33" i="15"/>
  <c r="AC33" i="15"/>
  <c r="AC31" i="15"/>
  <c r="E31" i="15"/>
  <c r="N24" i="15"/>
  <c r="F24" i="15" s="1"/>
  <c r="F27" i="15"/>
  <c r="AC29" i="15"/>
  <c r="E29" i="15"/>
  <c r="E30" i="15"/>
  <c r="AC30" i="15"/>
  <c r="J27" i="15" l="1"/>
  <c r="E28" i="15"/>
  <c r="E27"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<sst xmlns="http://schemas.openxmlformats.org/spreadsheetml/2006/main" count="4258" uniqueCount="657">
  <si>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</si>
  <si>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</si>
  <si>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</si>
  <si>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</si>
  <si>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</si>
  <si>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</si>
  <si>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</si>
  <si>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</si>
  <si>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</si>
  <si>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</si>
  <si>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</si>
  <si>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</si>
  <si>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</si>
  <si>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</si>
  <si>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</si>
  <si>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</si>
  <si>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</si>
  <si>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</si>
  <si>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</si>
  <si>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</si>
  <si>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</si>
  <si>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</si>
  <si>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</si>
  <si>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</si>
  <si>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</si>
  <si>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</si>
  <si>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</si>
  <si>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</si>
  <si>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</si>
  <si>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</si>
  <si>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</si>
  <si>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</si>
  <si>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</si>
  <si>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</si>
  <si>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</si>
  <si>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</si>
  <si>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</si>
  <si>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</si>
  <si>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</si>
  <si>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</si>
  <si>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</si>
  <si>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</si>
  <si>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</si>
  <si>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</si>
  <si>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</si>
  <si>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</si>
  <si>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</si>
  <si>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</si>
  <si>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</si>
  <si>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</si>
  <si>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</si>
  <si>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</si>
  <si>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</si>
  <si>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</si>
  <si>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</si>
  <si>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</si>
  <si>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</si>
  <si>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</si>
  <si>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</si>
  <si>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</si>
  <si>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</si>
  <si>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</si>
  <si>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</si>
  <si>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</si>
  <si>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</si>
  <si>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</si>
  <si>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</si>
  <si>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</si>
  <si>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</si>
  <si>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</si>
  <si>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</si>
  <si>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</si>
  <si>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</si>
  <si>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</si>
  <si>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</si>
  <si>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</si>
  <si>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</si>
  <si>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</si>
  <si>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</si>
  <si>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</si>
  <si>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</si>
  <si>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</si>
  <si>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</si>
  <si>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</si>
  <si>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</si>
  <si>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</si>
  <si>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</si>
  <si>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</si>
  <si>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</si>
  <si>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</si>
  <si>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</si>
  <si>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</si>
  <si>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</si>
  <si>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</si>
  <si>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</si>
  <si>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</si>
  <si>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</si>
  <si>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</si>
  <si>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</si>
  <si>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</si>
  <si>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</si>
  <si>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</si>
  <si>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</si>
  <si>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</si>
  <si>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</si>
  <si>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</si>
  <si>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</si>
  <si>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</si>
  <si>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</si>
  <si>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</si>
  <si>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</si>
  <si>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</si>
  <si>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</si>
  <si>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</si>
  <si>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</si>
  <si>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</si>
  <si>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</si>
  <si>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</si>
  <si>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</si>
  <si>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</si>
  <si>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</si>
  <si>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</si>
  <si>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</si>
  <si>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</si>
  <si>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</si>
  <si>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</si>
  <si>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</si>
  <si>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</si>
  <si>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</si>
  <si>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</si>
  <si>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</si>
  <si>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</si>
  <si>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</si>
  <si>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</si>
  <si>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</si>
  <si>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</si>
  <si>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</si>
  <si>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</si>
  <si>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</si>
  <si>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</si>
  <si>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</si>
  <si>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</si>
  <si>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</si>
  <si>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</si>
  <si>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</si>
  <si>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</si>
  <si>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</si>
  <si>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</si>
  <si>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</si>
  <si>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</si>
  <si>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</si>
  <si>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</si>
  <si>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</si>
  <si>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</si>
  <si>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</si>
  <si>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</si>
  <si>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</si>
  <si>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</si>
  <si>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</si>
  <si>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</si>
  <si>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</si>
  <si>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</si>
  <si>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</si>
  <si>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</si>
  <si>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</si>
  <si>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</si>
  <si>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</si>
  <si>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</si>
  <si>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</si>
  <si>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</si>
  <si>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</si>
  <si>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</si>
  <si>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</si>
  <si>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</si>
  <si>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</si>
  <si>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</si>
  <si>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</si>
  <si>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</si>
  <si>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</si>
  <si>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</si>
  <si>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</si>
  <si>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</si>
  <si>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</si>
  <si>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</si>
  <si>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</si>
  <si>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</si>
  <si>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</si>
  <si>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</si>
  <si>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</si>
  <si>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</si>
  <si>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</si>
  <si>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</si>
  <si>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</si>
  <si>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</si>
  <si>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</si>
  <si>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</si>
  <si>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</si>
  <si>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</si>
  <si>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</si>
  <si>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</si>
  <si>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</si>
  <si>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</si>
  <si>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</si>
  <si>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</si>
  <si>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</si>
  <si>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</si>
  <si>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</si>
  <si>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</si>
  <si>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</si>
  <si>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</si>
  <si>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</si>
  <si>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</si>
  <si>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</si>
  <si>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</si>
  <si>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</si>
  <si>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</si>
  <si>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</si>
  <si>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</si>
  <si>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</si>
  <si>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</si>
  <si>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</si>
  <si>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</si>
  <si>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</si>
  <si>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</si>
  <si>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</si>
  <si>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</si>
  <si>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</si>
  <si>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</si>
  <si>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</si>
  <si>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</si>
  <si>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</si>
  <si>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</si>
  <si>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</si>
  <si>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</si>
  <si>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</si>
  <si>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</si>
  <si>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</si>
  <si>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</si>
  <si>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</si>
  <si>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</si>
  <si>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</si>
  <si>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</si>
  <si>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</si>
  <si>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</si>
  <si>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</si>
  <si>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</si>
  <si>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</si>
  <si>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</si>
  <si>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</si>
  <si>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</si>
  <si>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</si>
  <si>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</si>
  <si>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</si>
  <si>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</si>
  <si>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</si>
  <si>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</si>
  <si>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</si>
  <si>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</si>
  <si>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</si>
  <si>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</si>
  <si>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</si>
  <si>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</si>
  <si>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</si>
  <si>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</si>
  <si>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</si>
  <si>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</si>
  <si>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</si>
  <si>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</si>
  <si>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</si>
  <si>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</si>
  <si>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</si>
  <si>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</si>
  <si>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</si>
  <si>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</si>
  <si>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</si>
  <si>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</si>
  <si>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</si>
  <si>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</si>
  <si>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</si>
  <si>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</si>
  <si>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</si>
  <si>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</si>
  <si>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</si>
  <si>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</si>
  <si>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</si>
  <si>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</si>
  <si>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</si>
  <si>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</si>
  <si>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</si>
  <si>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</si>
  <si>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</si>
  <si>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</si>
  <si>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</si>
  <si>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</si>
  <si>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</si>
  <si>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</si>
  <si>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</si>
  <si>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</si>
  <si>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</si>
  <si>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</si>
  <si>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</si>
  <si>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</si>
  <si>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</si>
  <si>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</si>
  <si>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</si>
  <si>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</si>
  <si>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</si>
  <si>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</si>
  <si>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</si>
  <si>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</si>
  <si>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</si>
  <si>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</si>
  <si>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</si>
  <si>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</si>
  <si>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</si>
  <si>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</si>
  <si>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</si>
  <si>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</si>
  <si>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</si>
  <si>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</si>
  <si>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</si>
  <si>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</si>
  <si>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</si>
  <si>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</si>
  <si>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</si>
  <si>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</si>
  <si>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</si>
  <si>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</si>
  <si>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</si>
  <si>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</si>
  <si>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</si>
  <si>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</si>
  <si>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</si>
  <si>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</si>
  <si>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</si>
  <si>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</si>
  <si>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</si>
  <si>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</si>
  <si>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</si>
  <si>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</si>
  <si>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</si>
  <si>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</si>
  <si>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</si>
  <si>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</si>
  <si>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</si>
  <si>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</si>
  <si>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</si>
  <si>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</si>
  <si>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</si>
  <si>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</si>
  <si>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</si>
  <si>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</si>
  <si>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</si>
  <si>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</si>
  <si>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</si>
  <si>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</si>
  <si>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</si>
  <si>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</si>
  <si>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</si>
  <si>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</si>
  <si>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</si>
  <si>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</si>
  <si>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</si>
  <si>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</si>
  <si>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</si>
  <si>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</si>
  <si>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</si>
  <si>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</si>
  <si>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</si>
  <si>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</si>
  <si>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</si>
  <si>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</si>
  <si>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</si>
  <si>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</si>
  <si>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</si>
  <si>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</si>
  <si>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</si>
  <si>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</si>
  <si>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</si>
  <si>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</si>
  <si>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</si>
  <si>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</si>
  <si>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</si>
  <si>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</si>
  <si>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</si>
  <si>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</si>
  <si>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</si>
  <si>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</si>
  <si>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</si>
  <si>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</si>
  <si>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</si>
  <si>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</si>
  <si>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</si>
  <si>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</si>
  <si>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</si>
  <si>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</si>
  <si>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</si>
  <si>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</si>
  <si>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</si>
  <si>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</si>
  <si>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</si>
  <si>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</si>
  <si>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</si>
  <si>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</si>
  <si>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</si>
  <si>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</si>
  <si>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</si>
  <si>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</si>
  <si>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</si>
  <si>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</si>
  <si>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</si>
  <si>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</si>
  <si>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</si>
  <si>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</si>
  <si>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</si>
  <si>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</si>
  <si>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</si>
  <si>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</si>
  <si>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</si>
  <si>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</si>
  <si>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</si>
  <si>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</si>
  <si>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</si>
  <si>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</si>
  <si>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</si>
  <si>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</si>
  <si>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</si>
  <si>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</si>
  <si>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</si>
  <si>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</si>
  <si>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</si>
  <si>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</si>
  <si>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</si>
  <si>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</si>
  <si>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</si>
  <si>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</si>
  <si>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</si>
  <si>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</si>
  <si>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</si>
  <si>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</si>
  <si>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</si>
  <si>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</si>
  <si>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</si>
  <si>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</si>
  <si>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M_00.0014.000014</t>
  </si>
  <si>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</si>
  <si>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</si>
  <si>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</si>
  <si>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</si>
  <si>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</si>
  <si>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</si>
  <si>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</si>
  <si>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</si>
  <si>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</si>
  <si>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</si>
  <si>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</si>
  <si>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</si>
  <si>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</si>
  <si>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</si>
  <si>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</si>
  <si>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</si>
  <si>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</si>
  <si>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</si>
  <si>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</si>
  <si>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</si>
  <si>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</si>
  <si>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</si>
  <si>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</si>
  <si>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</si>
  <si>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</si>
  <si>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</si>
  <si>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</si>
  <si>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</si>
  <si>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</si>
  <si>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</si>
  <si>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</si>
  <si>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</si>
  <si>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</si>
  <si>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</si>
  <si>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</si>
  <si>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</si>
  <si>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</si>
  <si>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</si>
  <si>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</si>
  <si>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</si>
  <si>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</si>
  <si>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</si>
  <si>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</si>
  <si>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</si>
  <si>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</si>
  <si>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</si>
  <si>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</si>
  <si>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</si>
  <si>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</si>
  <si>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</si>
  <si>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</si>
  <si>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</si>
  <si>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</si>
  <si>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</si>
  <si>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</si>
  <si>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</si>
  <si>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</si>
  <si>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</si>
  <si>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</si>
  <si>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</si>
  <si>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</si>
  <si>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</si>
  <si>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</si>
  <si>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</si>
  <si>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</si>
  <si>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связанного с ростом стоимости отечественного оборудования. Смещение сроков выполнения строительно-монтажных работ на объекте ПС 220 кВ Строительная, связано с невозможностью проезда на объект через земельный участок иного владельца, который препятствует проезду на ПС</t>
  </si>
  <si>
    <t>ТМЦ</t>
  </si>
  <si>
    <t>Поставка трансформаторов ТРДЦН ПС Строительная 220 кВ</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</si>
  <si>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</si>
  <si>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</si>
  <si>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t>
  </si>
  <si>
    <t xml:space="preserve">ОБЩЕСТВО С ОГРАНИЧЕННОЙ ОТВЕТСТВЕННОСТЬЮ "ВЕЛЛЭНЕРДЖИ";
Общество с Ограниченной Ответственностью "Воронежский Трансформатор";
ОБЩЕСТВО С ОГРАНИЧЕННОЙ ОТВЕТСТВЕННОСТЬЮ "ПАРТНЕР-ТТ"
</t>
  </si>
  <si>
    <t>240115,3
239380,00
240115,3</t>
  </si>
  <si>
    <t xml:space="preserve">ОБЩЕСТВО С ОГРАНИЧЕННОЙ ОТВЕТСТВЕННОСТЬЮ "ВЕЛЛЭНЕРДЖИ";
Общество с Ограниченной Ответственностью "Воронежский Трансформатор"
</t>
  </si>
  <si>
    <t>ОБЩЕСТВО С ОГРАНИЧЕННОЙ ОТВЕТСТВЕННОСТЬЮ "ПАРТНЕР-ТТ"</t>
  </si>
  <si>
    <t>да</t>
  </si>
  <si>
    <t>https://com.roseltorg.ru/</t>
  </si>
  <si>
    <t>ПД</t>
  </si>
  <si>
    <t>ООО "ПАРТНЕР-ТТ"</t>
  </si>
  <si>
    <t>ПД-23-00119 от 20.04.2023</t>
  </si>
  <si>
    <t>ПИР</t>
  </si>
  <si>
    <t>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t>
  </si>
  <si>
    <t>Конкурс в электронной форме</t>
  </si>
  <si>
    <t>ОБЩЕСТВО С ОГРАНИЧЕННОЙ ОТВЕТСТВЕННОСТЬЮ "ВЕЛЛЭНЕРДЖИ"; ОБЩЕСТВО С ОГРАНИЧЕННОЙ ОТВЕТСТВЕННОСТЬЮ "ПРОЕКТНЫЙ ЦЕНТР СИБИРИ"; ОБЩЕСТВО С ОГРАНИЧЕННОЙ ОТВЕТСТВЕННОСТЬЮ "СЕВЕРНЫЙ СТАНДАРТ";  ОБЩЕСТВО С ОГРАНИЧЕННОЙ ОТВЕТСТВЕННОСТЬЮ "СЕВЕРЭНЕРГОПРОЕКТ";  ОБЩЕСТВО С ОГРАНИЧЕННОЙ ОТВЕТСТВЕННОСТЬЮ "СОЮЗЭНЕРГОПРОЕКТ"; ОБЩЕСТВО С ОГРАНИЧЕННОЙ ОТВЕТСТВЕННОСТЬЮ "ТЕХНОЛОГИИ ЭФФЕКТИВНОГО ПРОЕКТИРОВАНИЯ"; ОБЩЕСТВО С ОГРАНИЧЕННОЙ ОТВЕТСТВЕННОСТЬЮ "ПРАЙМЭНЕРГОИНЖИНИРИНГ"; ОБЩЕСТВО С ОГРАНИЧЕННОЙ ОТВЕТСТВЕННОСТЬЮ "МОДЭНС ГРУПП"; АКЦИОНЕРНОЕ ОБЩЕСТВО "ИНСТИТУТ АВТОМАТИЗАЦИИ ЭНЕРГЕТИЧЕСКИХ СИСТЕМ"; ОБЩЕСТВО С ОГРАНИЧЕННОЙ ОТВЕТСТВЕННОСТЬЮ ПРОЕКТНЫЙ ЦЕНТР "ЭКРА; АКЦИОНЕРНОЕ ОБЩЕСТВО ХОЛДИНГОВАЯ КОМПАНИЯ "ЭЛЕКТРОЗАВОД"; АКЦИОНЕРНОЕ ОБЩЕСТВО "РЕМОНТЭНЕРГОМОНТАЖ И СЕРВИС"; ОБЩЕСТВО С ОГРАНИЧЕННОЙ ОТВЕТСТВЕННОСТЬЮ "БАЙКАЛЭЛЕКТРО"</t>
  </si>
  <si>
    <t>15900,00; 15902,09; 15900,00; 15104,99; 15902,09; 15107,00; 14311,88; 15652,09; 14500,00; 15902,09; 15106,99; 15902,09; 13250,00</t>
  </si>
  <si>
    <t>ОБЩЕСТВО С ОГРАНИЧЕННОЙ ОТВЕТСТВЕННОСТЬЮ "НОВЫЙ ПРОЕКТНЫЙ ИНСТИТУТ"</t>
  </si>
  <si>
    <t>8000,00; 8157,75; 9540,00; 8725,39; 8963,92; 7337,41; 7271,15; -; -; 12671,52; -; -; -</t>
  </si>
  <si>
    <t>ООО "Веллэнерджи"</t>
  </si>
  <si>
    <t>https://www.roseltorg.ru/</t>
  </si>
  <si>
    <t>Смещение срока разработки ПИР обусловлено учетом изменений по инициативе заказчика, в т.ч.: объема проектирования не учтенный в ЗП, изменение проектных решений, необходимость дополнительной координации титулов взаимосвязанных инвестиционных проектов</t>
  </si>
  <si>
    <t>ИП</t>
  </si>
  <si>
    <t xml:space="preserve">ИП-22-00214 от 04.08.2022 </t>
  </si>
  <si>
    <t>Поставка реакторов и оборудования к ним</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</si>
  <si>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</si>
  <si>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2 других участника не видим, т.к. они были отклонениы на 1х частях и не приняли участие в аукционе</t>
  </si>
  <si>
    <t>не известно</t>
  </si>
  <si>
    <t>ОБЩЕСТВО С ОГРАНИЧЕННОЙ ОТВЕТСТВЕННОСТЬЮ "ИНЖЕНЕРНЫЙ ЦЕНТР СИБИРИ"</t>
  </si>
  <si>
    <t>ПД-23-00310 от 24.10.2023</t>
  </si>
  <si>
    <t>Поставка трансформаторов собственных нужд</t>
  </si>
  <si>
    <t>Запрос котировок в электронной форме</t>
  </si>
  <si>
    <t>ОБЩЕСТВО С ОГРАНИЧЕННОЙ ОТВЕТСТВЕННОСТЬЮ ТК "ЭНЕРГООБОРУДОВАНИЕ"
ОБЩЕСТВО С ОГРАНИЧЕННОЙ ОТВЕТСТВЕННОСТЬЮ "ЭЛЕКТРОМАШИНОСТРОИТЕЛЬНЫЙ ЗАВОД"</t>
  </si>
  <si>
    <t>2000;
1890</t>
  </si>
  <si>
    <t>ОБЩЕСТВО С ОГРАНИЧЕННОЙ ОТВЕТСТВЕННОСТЬЮ "ЭЛЕКТРОМАШИНОСТРОИТЕЛЬНЫЙ ЗАВОД"</t>
  </si>
  <si>
    <t>ОБЩЕСТВО С ОГРАНИЧЕННОЙ ОТВЕТСТВЕННОСТЬЮ ТК "ЭНЕРГООБОРУДОВАНИЕ"</t>
  </si>
  <si>
    <t>ПД-23-00311 от 20.10.2023</t>
  </si>
  <si>
    <t>СМР</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</si>
  <si>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</si>
  <si>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</si>
  <si>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"ВЕЛЛЭНЕРДЖИ". Наименование двух других участников не известно, т.к. отклонение заявок было на 1-х частях</t>
  </si>
  <si>
    <t>-</t>
  </si>
  <si>
    <t>Наименование двух участников, заявки которых отклонены, не известно, т.к. отклонение заявок было на 1-х частях</t>
  </si>
  <si>
    <t>ОБЩЕСТВО С ОГРАНИЧЕННОЙ ОТВЕТСТВЕННОСТЬЮ "ВЕЛЛЭНЕРДЖИ"</t>
  </si>
  <si>
    <t>17.03.2024 (решение УФАС от 12.03.2024)</t>
  </si>
  <si>
    <t>Действия третьего лица ООО "Инженерные сети трейд" в связи с огланичением въезда на территорию подстанции через земельный участок, принадлежащий ООО "Инжененые сети Трейд"</t>
  </si>
  <si>
    <t>ИП-24-00029 от 18.03.2024</t>
  </si>
  <si>
    <t>Поставка шкафов защит</t>
  </si>
  <si>
    <t>ОБЩЕСТВО С ОГРАНИЧЕННОЙ ОТВЕТСТВЕННОСТЬЮ "ЭКРА-ВОСТОК"
ОБЩЕСТВО С ОГРАНИЧЕННОЙ ОТВЕТСТВЕННОСТЬЮ "СИБЭЛЕКТРОМОНТАЖ"
ОБЩЕСТВО С ОГРАНИЧЕННОЙ ОТВЕТСТВЕННОСТЬЮ "ИНЖЕНЕРНЫЙ ЦЕНТР "АВТОМАТИЗАЦИЯ И ДИСПЕТЧЕРИЗАЦИЯ"</t>
  </si>
  <si>
    <t>11610
11634
11630</t>
  </si>
  <si>
    <t>ОБЩЕСТВО С ОГРАНИЧЕННОЙ ОТВЕТСТВЕННОСТЬЮ "ИНЖЕНЕРНЫЙ ЦЕНТР "АВТОМАТИЗАЦИЯ И ДИСПЕТЧЕРИЗАЦИЯ"</t>
  </si>
  <si>
    <t>11549
11634
7129,19</t>
  </si>
  <si>
    <t>ОБЩЕСТВО С ОГРАНИЧЕННОЙ ОТВЕТСТВЕННОСТЬЮ "ЭКРА-ВОСТОК"</t>
  </si>
  <si>
    <t>ООО «ЭКРА-ВОСТОК»</t>
  </si>
  <si>
    <t>ПД-24-00091 от 02.05.2024</t>
  </si>
  <si>
    <t>Поставка токопровода</t>
  </si>
  <si>
    <t>ПД-24-00100 от 15.05.2024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</si>
  <si>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t>
  </si>
  <si>
    <t xml:space="preserve">	ОБЩЕСТВО С ОГРАНИЧЕННОЙ ОТВЕТСТВЕННОСТЬЮ "ВЕЛЛЭНЕРДЖИ"</t>
  </si>
  <si>
    <t>ИП-24-00125 от 07.06.2024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</si>
  <si>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t>
  </si>
  <si>
    <t>АКЦИОНЕРНОЕ ОБЩЕСТВО "РЕМОНТЭНЕРГОМОНТАЖ И СЕРВИС"</t>
  </si>
  <si>
    <t>ИП-24-00160 от 30.07.2024</t>
  </si>
  <si>
    <t>СМР, ПНР</t>
  </si>
  <si>
    <t>Выполнение   строительно-монтажных и пусконаладочных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t>
  </si>
  <si>
    <t>Закупочная процедура признана несостоявшейся</t>
  </si>
  <si>
    <t>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t>
  </si>
  <si>
    <t>ИП-25-00120 от 10.04.2025</t>
  </si>
  <si>
    <t>Поставка реакторов токоограничивающих</t>
  </si>
  <si>
    <t>ОБЩЕСТВО С ОГРАНИЧЕННОЙ ОТВЕТСТВЕННОСТЬЮ "КПМ";
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
ОБЩЕСТВО С ОГРАНИЧЕННОЙ ОТВЕТСТВЕННОСТЬЮ "ИНЖЕНЕРНЫЙ ЦЕНТР СИБИРИ"</t>
  </si>
  <si>
    <t>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t>
  </si>
  <si>
    <t>ПД-23-00320 от 25.10.2023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</si>
  <si>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</si>
  <si>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</si>
  <si>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</si>
  <si>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приказом №604 от 06.08.2025</t>
  </si>
  <si>
    <t>см. комментарии ниже по этапам</t>
  </si>
  <si>
    <t>Ошибка планирования</t>
  </si>
  <si>
    <t>Смещение сроков выполнения строительно-монтажных работ на объекте ПС 220 кВ Строительная, связано с невозможностью проезда на объект через земельный участок иного владельца, который препятствует проезду на ПС. Планируется изъятие земельного участка в рамках реализации проекта P_00.0122.000122</t>
  </si>
  <si>
    <t>Допуск на ПС 220 кВ Строительная ограничен действиями третьих лиц ООО "Инженерные сети трейд", который является собственником земельного участка на котором расположена  догога для проезда на ПС 220 кВ Строительная. 15.05.2024 составлен Акт недопуска на объект электроэнергетики. В настоящее время ведется процесс урегулирования разногласий</t>
  </si>
  <si>
    <t>Смещение сроков выполнения строительно-монтажных работ на объекте ПС 220 кВ Строительная, связано с невозможностью проезда на объект через земельный участок иного владельца, который препятствует проезду на ПС</t>
  </si>
  <si>
    <t>г. Новосибирск</t>
  </si>
  <si>
    <t>не требуется</t>
  </si>
  <si>
    <t>не относится</t>
  </si>
  <si>
    <t>+</t>
  </si>
  <si>
    <t>29.11.2024 Приказ №2328, Министр энергетики РФ, Цивилёв С.Е., том "ОБОСНОВЫВАЮЩИЕ МАТЕРИАЛЫ СХЕМА И ПРОГРАММА РАЗВИТИЯ ЭЛЕКТРОЭНЕРГЕТИЧЕСКИХ СИСТЕМ РОССИИ НА 2025–2030 ГОДЫ ЭНЕРГОСИСТЕМА НОВОСИБИРСКОЙ ОБЛАСТИ", п.5 Таблиц 20, 21, п.6 Приложения Б, наименование "Реконструкция ПС 220 кВ Строительная с заменой трансформаторов 1Т 220/10/6 кВ и 2Т 220/10/6 кВ мощностью 40 МВА каждый на два трансформатора 220/10/6 кВ мощностью 63 МВА каждый"</t>
  </si>
  <si>
    <t>23,33 МВА</t>
  </si>
  <si>
    <t>656/7700072 от 30.05.2023</t>
  </si>
  <si>
    <t>725/7700078 от 14.12.2023</t>
  </si>
  <si>
    <t>яч. 10 кВ №8 (ф. 11-408) II СШ-10 кВ РУ-10 кВ ПС 220 кВ Строительная</t>
  </si>
  <si>
    <t>яч.10 кВ №23 (ф.11-423) I СШ-10 кВ РУ-10 кВ ПС 220 кВ Строительная</t>
  </si>
  <si>
    <t>яч.10 кВ №16 (ф.11-416) II СШ-10 кВ РУ-10 кВ ПС 220 кВ Строительная</t>
  </si>
  <si>
    <t>1. Технологическое присоединение  энергопринимающих устройств Заявителей к сетям АО "Электромагистраль".
2. Выполнение мероприятий предусмотренных Схемой и программой развития электроэнергетиких систем России на 2025–2030 годы, утвержденной приказом Минэнерго РФ от 29.11.2024 №2328.</t>
  </si>
  <si>
    <t>Замена двух силовых трансформаторов мощностью по 40 МВА каждый на трансформаторы мощностью по 63 МВА с целью создания возможности ТП потребителей.
Замена ячеек ЗРУ 6-10 кВ с установкой новых в новом здании ОПУ-ЗРУ.
Строительство быстровозводимого здания ОПУ-ЗРУ.</t>
  </si>
  <si>
    <t>ПС 220 кВ Строительная</t>
  </si>
  <si>
    <t>601672,31 тыс. руб. с НДС на 1 силовой траснформатор 63 МВА</t>
  </si>
  <si>
    <t>1 этап. Строительство ОПУ-ЗРУ. Задания на изготовления.
2 этап. Установка Т-1, перевод существующих потребителей на новое ЗРУ-6 кВ и ЗРУ-10 кВ, с организацией сбора и передачи телеметрической информации в ДЦ по организованным каналам связи.
3 этап. Установка Т-2, с организацией сбора и передачи телеметрической информации в ДЦ по организованным каналам связи.
4 этап. Реконструкция существующего ОПУ-ЗРУ.</t>
  </si>
  <si>
    <t>1. Приказ Минэнерго РФ №1095 от  30.11.2023, утвержденный Министром энергетики РФ, Шульгинов Н.Г., Приложение № 4 электроэнергетических систем России на 2024–2029 годы, идентификатор проекта 23.50.1.617.
2. Договоры технологического присоединения: 656/7700072 от 30.05.2023; 725/7700078 от 14.12.2023.
3. Процент износа существующих коммутационных аппаратов достигает (общий процент износа ячеек 10 кВ – 80 %, общий процент износа ячеек 6 кВ – 70 %).
4. Заключение акта технического освидетельствования № ПС-8/09-2020 от 30.09.2020.</t>
  </si>
  <si>
    <t>С</t>
  </si>
  <si>
    <t>Сибирский Федеральный округ, Новосибирская область, г. Новосибирск</t>
  </si>
  <si>
    <t>Выполнение Сетевой организации следующего объема работ:
Замена существующих силовых трансформаторов на ПС 220 кВ Строительная на трансформаторы большей мощности с выполнением сопутствующего объема работ.</t>
  </si>
  <si>
    <t>Выполнение Сетевой организации следующего объема работ:
Замена существующих силовых трансформаторов мощностью 2х40 МВА на ПС 220 кВ Строительная на трансформаторы 2х63 МВА (объем необходимой реконструкции, параметры оборудования уточнить при проектировании).</t>
  </si>
  <si>
    <t>ДС №1 от 30.04.2025</t>
  </si>
  <si>
    <t>На заключении</t>
  </si>
  <si>
    <t>Новосибирская область, Новосибирский район, в районе села Толмачева (кадастровый номер земельного участка: 54:19:034001:8)</t>
  </si>
  <si>
    <t>Газонаполнительная станция</t>
  </si>
  <si>
    <t>ДС №1 от 25.04.2025</t>
  </si>
  <si>
    <t>Заключен</t>
  </si>
  <si>
    <t>Новосибирская область, Новосибирский район, МО Толмачевский сельсовет, с. Толмачево, ул. Советская, 140 (на земельных участках с кадастровыми номерами 54:19:034001:1275, 54:19:034001:3798)</t>
  </si>
  <si>
    <t>Производственные участки</t>
  </si>
  <si>
    <t>ТРДНС</t>
  </si>
  <si>
    <t>1Т</t>
  </si>
  <si>
    <t>2Т</t>
  </si>
  <si>
    <t>Ячейки ЗРУ-6/10 кВ (49 шт.)</t>
  </si>
  <si>
    <t>Ячейки типа К-104</t>
  </si>
  <si>
    <t>6/10</t>
  </si>
  <si>
    <t xml:space="preserve">Акт № ПС-8/09-2020 от 30.09.2020 технического освидетельствования ПС 220 кВ Строительная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</si>
  <si>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</si>
  <si>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2;3</t>
  </si>
  <si>
    <t>1;2;3</t>
  </si>
  <si>
    <t>2;4</t>
  </si>
  <si>
    <t>1;2;4</t>
  </si>
  <si>
    <t>1;2;3;4</t>
  </si>
  <si>
    <t>3;4</t>
  </si>
  <si>
    <t xml:space="preserve">23;23;14,8169;0,405904002297841;49                                                 </t>
  </si>
  <si>
    <t>Выполнение дополнительных строительно-монтажных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t>
  </si>
  <si>
    <t>Закупка у единственного поставщика (подрядчика, исполнителя)</t>
  </si>
  <si>
    <t>АКЦИОНЕРНОЕ ОБЩЕСТВО "РЕМОНТЭНЕРГОМОНТАЖ И СЕРВИС</t>
  </si>
  <si>
    <t>5.7.3.4</t>
  </si>
  <si>
    <t>ЦЗК</t>
  </si>
  <si>
    <t>ИП-25-00120-ДС002 от 25.08.2025</t>
  </si>
  <si>
    <t>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(2 этап 2ПК, 3 этап, 4 этап)</t>
  </si>
  <si>
    <t>Работы</t>
  </si>
  <si>
    <t>Выполнение погрузочно – разгрузочных работ</t>
  </si>
  <si>
    <t xml:space="preserve">ООО «СмартСтафф» </t>
  </si>
  <si>
    <t>нет</t>
  </si>
  <si>
    <t xml:space="preserve">5.7.3.23. </t>
  </si>
  <si>
    <t>ИП-25-00331 от 23.09.2025</t>
  </si>
  <si>
    <t>75 %</t>
  </si>
  <si>
    <t>40%</t>
  </si>
  <si>
    <t>0 %</t>
  </si>
  <si>
    <t>0%</t>
  </si>
  <si>
    <t>100%</t>
  </si>
  <si>
    <t>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</si>
</sst>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444</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445</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585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586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594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595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595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595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595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595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596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595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595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595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597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595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637</v>
      </c>
      <c r="D40" s="230"/>
      <c r="E40" s="230"/>
      <c r="F40" s="230"/>
      <c r="G40" s="230"/>
      <c r="H40" s="230"/>
      <c r="I40" s="230"/>
      <c r="J40" s="230"/>
      <c r="K40" s="230"/>
      <c r="L40" s="230"/>
      <c r="M40" s="230"/>
      <c r="N40" s="230"/>
      <c r="O40" s="230"/>
      <c r="P40" s="230"/>
      <c r="Q40" s="230"/>
      <c r="R40" s="230"/>
      <c r="S40" s="230"/>
      <c r="T40" s="230"/>
      <c r="U40" s="230"/>
      <c r="V40" s="230"/>
    </row>
    <row r="41" spans="1:22" s="231" customFormat="1" ht="116.25" customHeight="1" x14ac:dyDescent="0.25">
      <c r="A41" s="22" t="s">
        <v>376</v>
      </c>
      <c r="B41" s="125" t="s">
        <v>399</v>
      </c>
      <c r="C41" s="30" t="s">
        <v>598</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0.40185522160517068</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1.5749999999999997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599</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537.88941144847718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466.14259305752654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M_00.0014.000014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9" t="str">
        <f>H21</f>
        <v>Утвержденный план</v>
      </c>
      <c r="D22" s="249" t="s">
        <v>443</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925.11991292883818</v>
      </c>
      <c r="D24" s="261">
        <f t="shared" ref="D24:G24" si="0">D25+D26+D27+D32+D33</f>
        <v>1203.3446122982321</v>
      </c>
      <c r="E24" s="262">
        <f>J24+N24+R24+V24+Z24+AE24</f>
        <v>537.88941144847718</v>
      </c>
      <c r="F24" s="262">
        <f t="shared" ref="F24:F26" si="1">N24+R24+V24+Z24+AE24</f>
        <v>298.89222207105178</v>
      </c>
      <c r="G24" s="253">
        <f t="shared" si="0"/>
        <v>332.13435564975515</v>
      </c>
      <c r="H24" s="253">
        <f>H25+H26+H27+H32+H33</f>
        <v>298.89222207105172</v>
      </c>
      <c r="I24" s="253" t="s">
        <v>424</v>
      </c>
      <c r="J24" s="261">
        <f>J25+J26+J27+J32+J33</f>
        <v>238.99718937742537</v>
      </c>
      <c r="K24" s="261" t="s">
        <v>424</v>
      </c>
      <c r="L24" s="253">
        <f>L25+L26+L27+L32+L33</f>
        <v>0</v>
      </c>
      <c r="M24" s="253" t="s">
        <v>424</v>
      </c>
      <c r="N24" s="261">
        <f>N25+N26+N27+N32+N33</f>
        <v>298.89222207105178</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298.89222207105172</v>
      </c>
      <c r="AC24" s="264">
        <f>J24+N24+R24+V24+Z24</f>
        <v>537.88941144847718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772.69965274298841</v>
      </c>
      <c r="D27" s="261">
        <v>722.77900089548564</v>
      </c>
      <c r="E27" s="264">
        <f>J27+N27+R27+V27+Z27+AE27</f>
        <v>445.33927544444549</v>
      </c>
      <c r="F27" s="264">
        <f t="shared" ref="F27:F68" si="8">N27+R27+V27+Z27+AE27</f>
        <v>250.51265893805402</v>
      </c>
      <c r="G27" s="253">
        <v>332.13435564975515</v>
      </c>
      <c r="H27" s="253">
        <f>SUM(H28:H31)</f>
        <v>263.28067860212849</v>
      </c>
      <c r="I27" s="253" t="s">
        <v>424</v>
      </c>
      <c r="J27" s="261">
        <f>SUM(J28:J31)</f>
        <v>194.82661650639147</v>
      </c>
      <c r="K27" s="261" t="s">
        <v>424</v>
      </c>
      <c r="L27" s="253">
        <f>SUM(L28:L31)</f>
        <v>0</v>
      </c>
      <c r="M27" s="253" t="s">
        <v>424</v>
      </c>
      <c r="N27" s="261">
        <f>SUM(N28:N31)</f>
        <v>250.51265893805402</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263.28067860212849</v>
      </c>
      <c r="AC27" s="264">
        <f t="shared" si="7"/>
        <v>445.33927544444549</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266.55722670782393</v>
      </c>
      <c r="F29" s="264">
        <f t="shared" si="8"/>
        <v>161.06442398352846</v>
      </c>
      <c r="G29" s="254" t="s">
        <v>424</v>
      </c>
      <c r="H29" s="254">
        <v>169.27348511968859</v>
      </c>
      <c r="I29" s="255" t="s">
        <v>631</v>
      </c>
      <c r="J29" s="263">
        <v>105.4928027242955</v>
      </c>
      <c r="K29" s="265" t="s">
        <v>633</v>
      </c>
      <c r="L29" s="254">
        <v>0</v>
      </c>
      <c r="M29" s="255">
        <v>0</v>
      </c>
      <c r="N29" s="263">
        <v>161.06442398352846</v>
      </c>
      <c r="O29" s="265" t="s">
        <v>631</v>
      </c>
      <c r="P29" s="254">
        <v>0</v>
      </c>
      <c r="Q29" s="270">
        <v>0</v>
      </c>
      <c r="R29" s="263">
        <v>0</v>
      </c>
      <c r="S29" s="265">
        <v>0</v>
      </c>
      <c r="T29" s="254">
        <v>0</v>
      </c>
      <c r="U29" s="270">
        <v>0</v>
      </c>
      <c r="V29" s="263">
        <v>0</v>
      </c>
      <c r="W29" s="265">
        <v>0</v>
      </c>
      <c r="X29" s="254">
        <v>0</v>
      </c>
      <c r="Y29" s="270">
        <v>0</v>
      </c>
      <c r="Z29" s="263">
        <v>0</v>
      </c>
      <c r="AA29" s="265">
        <v>0</v>
      </c>
      <c r="AB29" s="254">
        <f t="shared" si="6"/>
        <v>169.27348511968859</v>
      </c>
      <c r="AC29" s="264">
        <f t="shared" si="7"/>
        <v>266.55722670782393</v>
      </c>
      <c r="AD29" s="204"/>
      <c r="AE29" s="274">
        <v>0</v>
      </c>
      <c r="AF29" s="276">
        <v>0</v>
      </c>
      <c r="AG29" s="278">
        <v>0</v>
      </c>
      <c r="AH29" s="278">
        <v>0</v>
      </c>
    </row>
    <row r="30" spans="1:34" x14ac:dyDescent="0.25">
      <c r="A30" s="58" t="s">
        <v>427</v>
      </c>
      <c r="B30" s="42" t="s">
        <v>164</v>
      </c>
      <c r="C30" s="255" t="s">
        <v>424</v>
      </c>
      <c r="D30" s="265" t="s">
        <v>424</v>
      </c>
      <c r="E30" s="264">
        <f t="shared" si="9"/>
        <v>102.62383222800722</v>
      </c>
      <c r="F30" s="264">
        <f t="shared" si="8"/>
        <v>47.681382664584348</v>
      </c>
      <c r="G30" s="254" t="s">
        <v>424</v>
      </c>
      <c r="H30" s="254">
        <v>50.111586527544489</v>
      </c>
      <c r="I30" s="255" t="s">
        <v>631</v>
      </c>
      <c r="J30" s="263">
        <v>54.942449563422869</v>
      </c>
      <c r="K30" s="265" t="s">
        <v>634</v>
      </c>
      <c r="L30" s="254">
        <v>0</v>
      </c>
      <c r="M30" s="255">
        <v>0</v>
      </c>
      <c r="N30" s="263">
        <v>47.681382664584348</v>
      </c>
      <c r="O30" s="265" t="s">
        <v>631</v>
      </c>
      <c r="P30" s="254">
        <v>0</v>
      </c>
      <c r="Q30" s="254">
        <v>0</v>
      </c>
      <c r="R30" s="263">
        <v>0</v>
      </c>
      <c r="S30" s="265">
        <v>0</v>
      </c>
      <c r="T30" s="254">
        <v>0</v>
      </c>
      <c r="U30" s="254">
        <v>0</v>
      </c>
      <c r="V30" s="263">
        <v>0</v>
      </c>
      <c r="W30" s="265">
        <v>0</v>
      </c>
      <c r="X30" s="254">
        <v>0</v>
      </c>
      <c r="Y30" s="254">
        <v>0</v>
      </c>
      <c r="Z30" s="263">
        <v>0</v>
      </c>
      <c r="AA30" s="265">
        <v>0</v>
      </c>
      <c r="AB30" s="254">
        <f t="shared" si="6"/>
        <v>50.111586527544489</v>
      </c>
      <c r="AC30" s="264">
        <f t="shared" si="7"/>
        <v>102.62383222800722</v>
      </c>
      <c r="AD30" s="204"/>
      <c r="AE30" s="274">
        <v>0</v>
      </c>
      <c r="AF30" s="274">
        <v>0</v>
      </c>
      <c r="AG30" s="278">
        <v>0</v>
      </c>
      <c r="AH30" s="278">
        <v>0</v>
      </c>
    </row>
    <row r="31" spans="1:34" x14ac:dyDescent="0.25">
      <c r="A31" s="58" t="s">
        <v>428</v>
      </c>
      <c r="B31" s="42" t="s">
        <v>162</v>
      </c>
      <c r="C31" s="255" t="s">
        <v>424</v>
      </c>
      <c r="D31" s="265" t="s">
        <v>424</v>
      </c>
      <c r="E31" s="264">
        <f t="shared" si="9"/>
        <v>76.158216508614316</v>
      </c>
      <c r="F31" s="264">
        <f t="shared" si="8"/>
        <v>41.766852289941198</v>
      </c>
      <c r="G31" s="254" t="s">
        <v>424</v>
      </c>
      <c r="H31" s="254">
        <v>43.895606954895399</v>
      </c>
      <c r="I31" s="255" t="s">
        <v>632</v>
      </c>
      <c r="J31" s="263">
        <v>34.391364218673118</v>
      </c>
      <c r="K31" s="265" t="s">
        <v>635</v>
      </c>
      <c r="L31" s="254">
        <v>0</v>
      </c>
      <c r="M31" s="255">
        <v>0</v>
      </c>
      <c r="N31" s="263">
        <v>41.766852289941198</v>
      </c>
      <c r="O31" s="265" t="s">
        <v>632</v>
      </c>
      <c r="P31" s="254">
        <v>0</v>
      </c>
      <c r="Q31" s="254">
        <v>0</v>
      </c>
      <c r="R31" s="263">
        <v>0</v>
      </c>
      <c r="S31" s="265">
        <v>0</v>
      </c>
      <c r="T31" s="254">
        <v>0</v>
      </c>
      <c r="U31" s="254">
        <v>0</v>
      </c>
      <c r="V31" s="263">
        <v>0</v>
      </c>
      <c r="W31" s="265">
        <v>0</v>
      </c>
      <c r="X31" s="254">
        <v>0</v>
      </c>
      <c r="Y31" s="254">
        <v>0</v>
      </c>
      <c r="Z31" s="263">
        <v>0</v>
      </c>
      <c r="AA31" s="265">
        <v>0</v>
      </c>
      <c r="AB31" s="254">
        <f t="shared" si="6"/>
        <v>43.895606954895399</v>
      </c>
      <c r="AC31" s="264">
        <f t="shared" si="7"/>
        <v>76.158216508614316</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152.42026018584974</v>
      </c>
      <c r="D33" s="263">
        <v>480.56561140274641</v>
      </c>
      <c r="E33" s="264">
        <f t="shared" si="9"/>
        <v>92.550136004031629</v>
      </c>
      <c r="F33" s="264">
        <f t="shared" si="8"/>
        <v>48.379563132997745</v>
      </c>
      <c r="G33" s="254">
        <v>0</v>
      </c>
      <c r="H33" s="254">
        <v>35.611543468923252</v>
      </c>
      <c r="I33" s="254" t="str">
        <f>I31</f>
        <v>1;2;3</v>
      </c>
      <c r="J33" s="263">
        <v>44.17057287103389</v>
      </c>
      <c r="K33" s="263" t="str">
        <f>K31</f>
        <v>1;2;3;4</v>
      </c>
      <c r="L33" s="254">
        <v>0</v>
      </c>
      <c r="M33" s="254">
        <f>M31</f>
        <v>0</v>
      </c>
      <c r="N33" s="263">
        <v>48.379563132997745</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35.611543468923252</v>
      </c>
      <c r="AC33" s="264">
        <f t="shared" si="7"/>
        <v>92.550136004031629</v>
      </c>
      <c r="AE33" s="274">
        <v>0</v>
      </c>
      <c r="AF33" s="274">
        <f>AF31</f>
        <v>0</v>
      </c>
      <c r="AG33" s="278">
        <v>0</v>
      </c>
      <c r="AH33" s="278">
        <v>0</v>
      </c>
    </row>
    <row r="34" spans="1:34" ht="47.25" x14ac:dyDescent="0.25">
      <c r="A34" s="60" t="s">
        <v>61</v>
      </c>
      <c r="B34" s="59" t="s">
        <v>170</v>
      </c>
      <c r="C34" s="253">
        <f>SUM(C35:C38)</f>
        <v>745.32214537752657</v>
      </c>
      <c r="D34" s="261">
        <f t="shared" ref="D34:G34" si="10">SUM(D35:D38)</f>
        <v>1005.3374557975267</v>
      </c>
      <c r="E34" s="262">
        <f t="shared" si="9"/>
        <v>466.14259305752654</v>
      </c>
      <c r="F34" s="262">
        <f t="shared" si="8"/>
        <v>249.92270116913184</v>
      </c>
      <c r="G34" s="253">
        <f t="shared" si="10"/>
        <v>260.01531041999999</v>
      </c>
      <c r="H34" s="253">
        <f>SUM(H35:H38)</f>
        <v>249.92270116913184</v>
      </c>
      <c r="I34" s="253" t="s">
        <v>424</v>
      </c>
      <c r="J34" s="261">
        <f>SUM(J35:J38)</f>
        <v>216.2198918883947</v>
      </c>
      <c r="K34" s="261" t="s">
        <v>424</v>
      </c>
      <c r="L34" s="253">
        <f>SUM(L35:L38)</f>
        <v>0</v>
      </c>
      <c r="M34" s="253" t="s">
        <v>424</v>
      </c>
      <c r="N34" s="261">
        <f>SUM(N35:N38)</f>
        <v>249.92270116913184</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249.92270116913184</v>
      </c>
      <c r="AC34" s="264">
        <f t="shared" si="7"/>
        <v>466.14259305752654</v>
      </c>
      <c r="AD34" s="204"/>
      <c r="AE34" s="273">
        <f>SUM(AE35:AE38)</f>
        <v>0</v>
      </c>
      <c r="AF34" s="273" t="s">
        <v>424</v>
      </c>
      <c r="AG34" s="278">
        <v>0</v>
      </c>
      <c r="AH34" s="278">
        <v>0</v>
      </c>
    </row>
    <row r="35" spans="1:34" x14ac:dyDescent="0.25">
      <c r="A35" s="60" t="s">
        <v>169</v>
      </c>
      <c r="B35" s="42" t="s">
        <v>168</v>
      </c>
      <c r="C35" s="254">
        <v>0</v>
      </c>
      <c r="D35" s="263">
        <v>8.6</v>
      </c>
      <c r="E35" s="264">
        <f t="shared" si="9"/>
        <v>0</v>
      </c>
      <c r="F35" s="264">
        <f t="shared" si="8"/>
        <v>0</v>
      </c>
      <c r="G35" s="254">
        <v>8.6</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265.79278665350296</v>
      </c>
      <c r="D36" s="263">
        <v>279.00163048350299</v>
      </c>
      <c r="E36" s="264">
        <f t="shared" si="9"/>
        <v>265.79278665350296</v>
      </c>
      <c r="F36" s="264">
        <f t="shared" si="8"/>
        <v>160.14128715459094</v>
      </c>
      <c r="G36" s="254">
        <v>13.208843829999999</v>
      </c>
      <c r="H36" s="254">
        <v>160.14128715459094</v>
      </c>
      <c r="I36" s="254" t="s">
        <v>631</v>
      </c>
      <c r="J36" s="263">
        <v>105.65149949891202</v>
      </c>
      <c r="K36" s="265" t="s">
        <v>636</v>
      </c>
      <c r="L36" s="254">
        <v>0</v>
      </c>
      <c r="M36" s="254">
        <v>0</v>
      </c>
      <c r="N36" s="263">
        <v>160.14128715459094</v>
      </c>
      <c r="O36" s="265" t="s">
        <v>631</v>
      </c>
      <c r="P36" s="254">
        <v>0</v>
      </c>
      <c r="Q36" s="255">
        <v>0</v>
      </c>
      <c r="R36" s="263">
        <v>0</v>
      </c>
      <c r="S36" s="265">
        <v>0</v>
      </c>
      <c r="T36" s="254">
        <v>0</v>
      </c>
      <c r="U36" s="255">
        <v>0</v>
      </c>
      <c r="V36" s="263">
        <v>0</v>
      </c>
      <c r="W36" s="265">
        <v>0</v>
      </c>
      <c r="X36" s="254">
        <v>0</v>
      </c>
      <c r="Y36" s="255">
        <v>0</v>
      </c>
      <c r="Z36" s="263">
        <v>0</v>
      </c>
      <c r="AA36" s="265">
        <v>0</v>
      </c>
      <c r="AB36" s="254">
        <f t="shared" si="6"/>
        <v>160.14128715459094</v>
      </c>
      <c r="AC36" s="264">
        <f t="shared" si="7"/>
        <v>265.79278665350296</v>
      </c>
      <c r="AE36" s="274">
        <v>0</v>
      </c>
      <c r="AF36" s="275">
        <v>0</v>
      </c>
      <c r="AG36" s="278">
        <v>0</v>
      </c>
      <c r="AH36" s="278">
        <v>0</v>
      </c>
    </row>
    <row r="37" spans="1:34" x14ac:dyDescent="0.25">
      <c r="A37" s="60" t="s">
        <v>165</v>
      </c>
      <c r="B37" s="42" t="s">
        <v>164</v>
      </c>
      <c r="C37" s="254">
        <v>404.52845209625804</v>
      </c>
      <c r="D37" s="263">
        <v>639.14097170625803</v>
      </c>
      <c r="E37" s="264">
        <f t="shared" si="9"/>
        <v>126.76108109625804</v>
      </c>
      <c r="F37" s="264">
        <f t="shared" si="8"/>
        <v>47.180747259915947</v>
      </c>
      <c r="G37" s="254">
        <v>234.61251960999999</v>
      </c>
      <c r="H37" s="254">
        <v>47.180747259915947</v>
      </c>
      <c r="I37" s="254" t="s">
        <v>631</v>
      </c>
      <c r="J37" s="263">
        <v>79.580333836342092</v>
      </c>
      <c r="K37" s="265" t="s">
        <v>634</v>
      </c>
      <c r="L37" s="254">
        <v>0</v>
      </c>
      <c r="M37" s="254">
        <v>0</v>
      </c>
      <c r="N37" s="263">
        <v>47.180747259915947</v>
      </c>
      <c r="O37" s="265" t="s">
        <v>631</v>
      </c>
      <c r="P37" s="254">
        <v>0</v>
      </c>
      <c r="Q37" s="255">
        <v>0</v>
      </c>
      <c r="R37" s="263">
        <v>0</v>
      </c>
      <c r="S37" s="265">
        <v>0</v>
      </c>
      <c r="T37" s="254">
        <v>0</v>
      </c>
      <c r="U37" s="255">
        <v>0</v>
      </c>
      <c r="V37" s="263">
        <v>0</v>
      </c>
      <c r="W37" s="265">
        <v>0</v>
      </c>
      <c r="X37" s="254">
        <v>0</v>
      </c>
      <c r="Y37" s="255">
        <v>0</v>
      </c>
      <c r="Z37" s="263">
        <v>0</v>
      </c>
      <c r="AA37" s="265">
        <v>0</v>
      </c>
      <c r="AB37" s="254">
        <f t="shared" si="6"/>
        <v>47.180747259915947</v>
      </c>
      <c r="AC37" s="264">
        <f t="shared" si="7"/>
        <v>126.76108109625804</v>
      </c>
      <c r="AE37" s="274">
        <v>0</v>
      </c>
      <c r="AF37" s="275">
        <v>0</v>
      </c>
      <c r="AG37" s="278">
        <v>0</v>
      </c>
      <c r="AH37" s="278">
        <v>0</v>
      </c>
    </row>
    <row r="38" spans="1:34" x14ac:dyDescent="0.25">
      <c r="A38" s="60" t="s">
        <v>163</v>
      </c>
      <c r="B38" s="42" t="s">
        <v>162</v>
      </c>
      <c r="C38" s="254">
        <v>75.000906627765517</v>
      </c>
      <c r="D38" s="263">
        <v>78.594853607765515</v>
      </c>
      <c r="E38" s="264">
        <f t="shared" si="9"/>
        <v>73.588725307765515</v>
      </c>
      <c r="F38" s="264">
        <f t="shared" si="8"/>
        <v>42.600666754624939</v>
      </c>
      <c r="G38" s="254">
        <v>3.5939469800000001</v>
      </c>
      <c r="H38" s="254">
        <v>42.600666754624939</v>
      </c>
      <c r="I38" s="254" t="s">
        <v>632</v>
      </c>
      <c r="J38" s="263">
        <v>30.988058553140569</v>
      </c>
      <c r="K38" s="265" t="s">
        <v>635</v>
      </c>
      <c r="L38" s="254">
        <v>0</v>
      </c>
      <c r="M38" s="254">
        <v>0</v>
      </c>
      <c r="N38" s="263">
        <v>42.600666754624939</v>
      </c>
      <c r="O38" s="265" t="s">
        <v>632</v>
      </c>
      <c r="P38" s="254">
        <v>0</v>
      </c>
      <c r="Q38" s="255">
        <v>0</v>
      </c>
      <c r="R38" s="263">
        <v>0</v>
      </c>
      <c r="S38" s="265">
        <v>0</v>
      </c>
      <c r="T38" s="254">
        <v>0</v>
      </c>
      <c r="U38" s="255">
        <v>0</v>
      </c>
      <c r="V38" s="263">
        <v>0</v>
      </c>
      <c r="W38" s="265">
        <v>0</v>
      </c>
      <c r="X38" s="254">
        <v>0</v>
      </c>
      <c r="Y38" s="255">
        <v>0</v>
      </c>
      <c r="Z38" s="263">
        <v>0</v>
      </c>
      <c r="AA38" s="265">
        <v>0</v>
      </c>
      <c r="AB38" s="254">
        <f t="shared" si="6"/>
        <v>42.600666754624939</v>
      </c>
      <c r="AC38" s="264">
        <f t="shared" si="7"/>
        <v>73.588725307765515</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126</v>
      </c>
      <c r="D41" s="263">
        <v>126</v>
      </c>
      <c r="E41" s="264">
        <f t="shared" si="9"/>
        <v>126</v>
      </c>
      <c r="F41" s="264">
        <f t="shared" si="8"/>
        <v>63</v>
      </c>
      <c r="G41" s="254">
        <v>0</v>
      </c>
      <c r="H41" s="254">
        <v>126</v>
      </c>
      <c r="I41" s="255" t="s">
        <v>59</v>
      </c>
      <c r="J41" s="263">
        <v>63</v>
      </c>
      <c r="K41" s="265" t="s">
        <v>59</v>
      </c>
      <c r="L41" s="254">
        <v>0</v>
      </c>
      <c r="M41" s="255">
        <v>0</v>
      </c>
      <c r="N41" s="263">
        <v>63</v>
      </c>
      <c r="O41" s="265" t="s">
        <v>61</v>
      </c>
      <c r="P41" s="254">
        <v>0</v>
      </c>
      <c r="Q41" s="255">
        <v>0</v>
      </c>
      <c r="R41" s="263">
        <v>0</v>
      </c>
      <c r="S41" s="265">
        <v>0</v>
      </c>
      <c r="T41" s="254">
        <v>0</v>
      </c>
      <c r="U41" s="255">
        <v>0</v>
      </c>
      <c r="V41" s="263">
        <v>0</v>
      </c>
      <c r="W41" s="265">
        <v>0</v>
      </c>
      <c r="X41" s="254">
        <v>0</v>
      </c>
      <c r="Y41" s="255">
        <v>0</v>
      </c>
      <c r="Z41" s="263">
        <v>0</v>
      </c>
      <c r="AA41" s="265">
        <v>0</v>
      </c>
      <c r="AB41" s="254">
        <f t="shared" si="6"/>
        <v>126</v>
      </c>
      <c r="AC41" s="264">
        <f t="shared" si="7"/>
        <v>126</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52</v>
      </c>
      <c r="D46" s="263">
        <v>52</v>
      </c>
      <c r="E46" s="264">
        <f t="shared" si="9"/>
        <v>52</v>
      </c>
      <c r="F46" s="264">
        <f t="shared" si="8"/>
        <v>51</v>
      </c>
      <c r="G46" s="254">
        <v>0</v>
      </c>
      <c r="H46" s="254">
        <v>52</v>
      </c>
      <c r="I46" s="255" t="s">
        <v>59</v>
      </c>
      <c r="J46" s="263">
        <v>1</v>
      </c>
      <c r="K46" s="265" t="s">
        <v>59</v>
      </c>
      <c r="L46" s="254">
        <v>0</v>
      </c>
      <c r="M46" s="255">
        <v>0</v>
      </c>
      <c r="N46" s="263">
        <v>51</v>
      </c>
      <c r="O46" s="265" t="s">
        <v>61</v>
      </c>
      <c r="P46" s="254">
        <v>0</v>
      </c>
      <c r="Q46" s="255">
        <v>0</v>
      </c>
      <c r="R46" s="263">
        <v>0</v>
      </c>
      <c r="S46" s="265">
        <v>0</v>
      </c>
      <c r="T46" s="254">
        <v>0</v>
      </c>
      <c r="U46" s="255">
        <v>0</v>
      </c>
      <c r="V46" s="263">
        <v>0</v>
      </c>
      <c r="W46" s="265">
        <v>0</v>
      </c>
      <c r="X46" s="254">
        <v>0</v>
      </c>
      <c r="Y46" s="255">
        <v>0</v>
      </c>
      <c r="Z46" s="263">
        <v>0</v>
      </c>
      <c r="AA46" s="265">
        <v>0</v>
      </c>
      <c r="AB46" s="254">
        <f t="shared" si="6"/>
        <v>52</v>
      </c>
      <c r="AC46" s="264">
        <f t="shared" si="7"/>
        <v>52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126</v>
      </c>
      <c r="D49" s="263">
        <v>126</v>
      </c>
      <c r="E49" s="264">
        <f t="shared" si="9"/>
        <v>126</v>
      </c>
      <c r="F49" s="264">
        <f t="shared" si="8"/>
        <v>63</v>
      </c>
      <c r="G49" s="254">
        <v>0</v>
      </c>
      <c r="H49" s="254">
        <v>126</v>
      </c>
      <c r="I49" s="255" t="s">
        <v>59</v>
      </c>
      <c r="J49" s="263">
        <v>63</v>
      </c>
      <c r="K49" s="265" t="s">
        <v>59</v>
      </c>
      <c r="L49" s="254">
        <v>0</v>
      </c>
      <c r="M49" s="255">
        <v>0</v>
      </c>
      <c r="N49" s="263">
        <v>63</v>
      </c>
      <c r="O49" s="265" t="s">
        <v>61</v>
      </c>
      <c r="P49" s="254">
        <v>0</v>
      </c>
      <c r="Q49" s="255">
        <v>0</v>
      </c>
      <c r="R49" s="263">
        <v>0</v>
      </c>
      <c r="S49" s="265">
        <v>0</v>
      </c>
      <c r="T49" s="254">
        <v>0</v>
      </c>
      <c r="U49" s="255">
        <v>0</v>
      </c>
      <c r="V49" s="263">
        <v>0</v>
      </c>
      <c r="W49" s="265">
        <v>0</v>
      </c>
      <c r="X49" s="254">
        <v>0</v>
      </c>
      <c r="Y49" s="255">
        <v>0</v>
      </c>
      <c r="Z49" s="263">
        <v>0</v>
      </c>
      <c r="AA49" s="265">
        <v>0</v>
      </c>
      <c r="AB49" s="254">
        <f t="shared" si="6"/>
        <v>126</v>
      </c>
      <c r="AC49" s="264">
        <f t="shared" si="7"/>
        <v>126</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52</v>
      </c>
      <c r="D54" s="263">
        <v>52</v>
      </c>
      <c r="E54" s="264">
        <f t="shared" si="9"/>
        <v>52</v>
      </c>
      <c r="F54" s="264">
        <f t="shared" si="8"/>
        <v>51</v>
      </c>
      <c r="G54" s="254">
        <v>0</v>
      </c>
      <c r="H54" s="254">
        <v>52</v>
      </c>
      <c r="I54" s="255" t="s">
        <v>59</v>
      </c>
      <c r="J54" s="263">
        <v>1</v>
      </c>
      <c r="K54" s="265" t="s">
        <v>59</v>
      </c>
      <c r="L54" s="254">
        <v>0</v>
      </c>
      <c r="M54" s="255">
        <v>0</v>
      </c>
      <c r="N54" s="263">
        <v>51</v>
      </c>
      <c r="O54" s="265" t="s">
        <v>61</v>
      </c>
      <c r="P54" s="254">
        <v>0</v>
      </c>
      <c r="Q54" s="255">
        <v>0</v>
      </c>
      <c r="R54" s="263">
        <v>0</v>
      </c>
      <c r="S54" s="265">
        <v>0</v>
      </c>
      <c r="T54" s="254">
        <v>0</v>
      </c>
      <c r="U54" s="255">
        <v>0</v>
      </c>
      <c r="V54" s="263">
        <v>0</v>
      </c>
      <c r="W54" s="265">
        <v>0</v>
      </c>
      <c r="X54" s="254">
        <v>0</v>
      </c>
      <c r="Y54" s="255">
        <v>0</v>
      </c>
      <c r="Z54" s="263">
        <v>0</v>
      </c>
      <c r="AA54" s="265">
        <v>0</v>
      </c>
      <c r="AB54" s="254">
        <f t="shared" si="6"/>
        <v>52</v>
      </c>
      <c r="AC54" s="264">
        <f t="shared" si="7"/>
        <v>52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774.13444377581015</v>
      </c>
      <c r="D56" s="263">
        <v>1005.3374557975266</v>
      </c>
      <c r="E56" s="264">
        <f t="shared" si="9"/>
        <v>1005.3374557975266</v>
      </c>
      <c r="F56" s="264">
        <f t="shared" si="8"/>
        <v>676.684826515797</v>
      </c>
      <c r="G56" s="254">
        <v>0</v>
      </c>
      <c r="H56" s="254">
        <v>774.13444377581015</v>
      </c>
      <c r="I56" s="255" t="s">
        <v>59</v>
      </c>
      <c r="J56" s="263">
        <v>328.65262928172956</v>
      </c>
      <c r="K56" s="265" t="s">
        <v>59</v>
      </c>
      <c r="L56" s="254">
        <v>0</v>
      </c>
      <c r="M56" s="255">
        <v>0</v>
      </c>
      <c r="N56" s="263">
        <v>676.684826515797</v>
      </c>
      <c r="O56" s="265" t="s">
        <v>61</v>
      </c>
      <c r="P56" s="254">
        <v>0</v>
      </c>
      <c r="Q56" s="255">
        <v>0</v>
      </c>
      <c r="R56" s="263">
        <v>0</v>
      </c>
      <c r="S56" s="265">
        <v>0</v>
      </c>
      <c r="T56" s="254">
        <v>0</v>
      </c>
      <c r="U56" s="255">
        <v>0</v>
      </c>
      <c r="V56" s="263">
        <v>0</v>
      </c>
      <c r="W56" s="265">
        <v>0</v>
      </c>
      <c r="X56" s="254">
        <v>0</v>
      </c>
      <c r="Y56" s="255">
        <v>0</v>
      </c>
      <c r="Z56" s="263">
        <v>0</v>
      </c>
      <c r="AA56" s="265">
        <v>0</v>
      </c>
      <c r="AB56" s="254">
        <f t="shared" si="6"/>
        <v>774.13444377581015</v>
      </c>
      <c r="AC56" s="264">
        <f t="shared" si="7"/>
        <v>1005.3374557975266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126</v>
      </c>
      <c r="D58" s="263">
        <v>126</v>
      </c>
      <c r="E58" s="264">
        <f t="shared" si="9"/>
        <v>126</v>
      </c>
      <c r="F58" s="264">
        <f t="shared" si="8"/>
        <v>63</v>
      </c>
      <c r="G58" s="254">
        <v>0</v>
      </c>
      <c r="H58" s="254">
        <v>126</v>
      </c>
      <c r="I58" s="255" t="s">
        <v>59</v>
      </c>
      <c r="J58" s="263">
        <v>63</v>
      </c>
      <c r="K58" s="265" t="s">
        <v>59</v>
      </c>
      <c r="L58" s="254">
        <v>0</v>
      </c>
      <c r="M58" s="255">
        <v>0</v>
      </c>
      <c r="N58" s="263">
        <v>63</v>
      </c>
      <c r="O58" s="265" t="s">
        <v>61</v>
      </c>
      <c r="P58" s="254">
        <v>0</v>
      </c>
      <c r="Q58" s="255">
        <v>0</v>
      </c>
      <c r="R58" s="263">
        <v>0</v>
      </c>
      <c r="S58" s="265">
        <v>0</v>
      </c>
      <c r="T58" s="254">
        <v>0</v>
      </c>
      <c r="U58" s="255">
        <v>0</v>
      </c>
      <c r="V58" s="263">
        <v>0</v>
      </c>
      <c r="W58" s="265">
        <v>0</v>
      </c>
      <c r="X58" s="254">
        <v>0</v>
      </c>
      <c r="Y58" s="255">
        <v>0</v>
      </c>
      <c r="Z58" s="263">
        <v>0</v>
      </c>
      <c r="AA58" s="265">
        <v>0</v>
      </c>
      <c r="AB58" s="254">
        <f t="shared" si="6"/>
        <v>126</v>
      </c>
      <c r="AC58" s="264">
        <f t="shared" si="7"/>
        <v>126</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52</v>
      </c>
      <c r="D61" s="263">
        <v>52</v>
      </c>
      <c r="E61" s="264">
        <f t="shared" si="9"/>
        <v>52</v>
      </c>
      <c r="F61" s="264">
        <f t="shared" si="8"/>
        <v>51</v>
      </c>
      <c r="G61" s="254">
        <v>0</v>
      </c>
      <c r="H61" s="254">
        <v>52</v>
      </c>
      <c r="I61" s="255" t="s">
        <v>59</v>
      </c>
      <c r="J61" s="263">
        <v>1</v>
      </c>
      <c r="K61" s="265" t="s">
        <v>59</v>
      </c>
      <c r="L61" s="254">
        <v>0</v>
      </c>
      <c r="M61" s="255">
        <v>0</v>
      </c>
      <c r="N61" s="263">
        <v>51</v>
      </c>
      <c r="O61" s="265" t="s">
        <v>61</v>
      </c>
      <c r="P61" s="254">
        <v>0</v>
      </c>
      <c r="Q61" s="255">
        <v>0</v>
      </c>
      <c r="R61" s="263">
        <v>0</v>
      </c>
      <c r="S61" s="265">
        <v>0</v>
      </c>
      <c r="T61" s="254">
        <v>0</v>
      </c>
      <c r="U61" s="255">
        <v>0</v>
      </c>
      <c r="V61" s="263">
        <v>0</v>
      </c>
      <c r="W61" s="265">
        <v>0</v>
      </c>
      <c r="X61" s="254">
        <v>0</v>
      </c>
      <c r="Y61" s="255">
        <v>0</v>
      </c>
      <c r="Z61" s="263">
        <v>0</v>
      </c>
      <c r="AA61" s="265">
        <v>0</v>
      </c>
      <c r="AB61" s="254">
        <f t="shared" si="6"/>
        <v>52</v>
      </c>
      <c r="AC61" s="264">
        <f t="shared" si="7"/>
        <v>52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zoomScale="70" zoomScaleSheetLayoutView="70" workbookViewId="0">
      <selection activeCell="AX37"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M_00.0014.000014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46203</v>
      </c>
      <c r="E26" s="173">
        <v>52</v>
      </c>
      <c r="F26" s="173">
        <v>0</v>
      </c>
      <c r="G26" s="173">
        <v>126</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1121301.8786599999</v>
      </c>
      <c r="Q26" s="173" t="s">
        <v>424</v>
      </c>
      <c r="R26" s="175">
        <f>SUM(R27:R86)</f>
        <v>1121301.8786599999</v>
      </c>
      <c r="S26" s="173" t="s">
        <v>424</v>
      </c>
      <c r="T26" s="173" t="s">
        <v>424</v>
      </c>
      <c r="U26" s="173" t="s">
        <v>424</v>
      </c>
      <c r="V26" s="173" t="s">
        <v>424</v>
      </c>
      <c r="W26" s="173" t="s">
        <v>424</v>
      </c>
      <c r="X26" s="173" t="s">
        <v>424</v>
      </c>
      <c r="Y26" s="173" t="s">
        <v>424</v>
      </c>
      <c r="Z26" s="173" t="s">
        <v>424</v>
      </c>
      <c r="AA26" s="173" t="s">
        <v>424</v>
      </c>
      <c r="AB26" s="175">
        <f>SUM(AB27:AB86)</f>
        <v>743965.24886166677</v>
      </c>
      <c r="AC26" s="173" t="s">
        <v>424</v>
      </c>
      <c r="AD26" s="175">
        <f>SUM(AD27:AD86)</f>
        <v>892758.29863400012</v>
      </c>
      <c r="AE26" s="175">
        <f>SUM(AE27:AE86)</f>
        <v>232010.059194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542921.55872999993</v>
      </c>
      <c r="AY26" s="175">
        <f t="shared" si="46"/>
        <v>661468.23944000003</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240115.3</v>
      </c>
      <c r="Q27" s="205" t="s">
        <v>514</v>
      </c>
      <c r="R27" s="206">
        <v>240115.3</v>
      </c>
      <c r="S27" s="205" t="s">
        <v>515</v>
      </c>
      <c r="T27" s="205" t="s">
        <v>515</v>
      </c>
      <c r="U27" s="205">
        <v>6</v>
      </c>
      <c r="V27" s="205">
        <v>3</v>
      </c>
      <c r="W27" s="205" t="s">
        <v>516</v>
      </c>
      <c r="X27" s="205" t="s">
        <v>517</v>
      </c>
      <c r="Y27" s="205" t="s">
        <v>518</v>
      </c>
      <c r="Z27" s="205">
        <v>1</v>
      </c>
      <c r="AA27" s="205">
        <v>240000</v>
      </c>
      <c r="AB27" s="206">
        <v>240000</v>
      </c>
      <c r="AC27" s="205" t="s">
        <v>519</v>
      </c>
      <c r="AD27" s="206">
        <v>288000</v>
      </c>
      <c r="AE27" s="247">
        <f>IF(IFERROR(AD27-AY27,"нд")&lt;0,0,IFERROR(AD27-AY27,"нд"))</f>
        <v>996</v>
      </c>
      <c r="AF27" s="205">
        <v>32312132503</v>
      </c>
      <c r="AG27" s="205" t="s">
        <v>520</v>
      </c>
      <c r="AH27" s="205" t="s">
        <v>521</v>
      </c>
      <c r="AI27" s="207">
        <v>44985</v>
      </c>
      <c r="AJ27" s="207">
        <v>44977</v>
      </c>
      <c r="AK27" s="207">
        <v>44995</v>
      </c>
      <c r="AL27" s="207">
        <v>45016</v>
      </c>
      <c r="AM27" s="205" t="s">
        <v>424</v>
      </c>
      <c r="AN27" s="205" t="s">
        <v>424</v>
      </c>
      <c r="AO27" s="205" t="s">
        <v>424</v>
      </c>
      <c r="AP27" s="205" t="s">
        <v>424</v>
      </c>
      <c r="AQ27" s="207">
        <v>45036</v>
      </c>
      <c r="AR27" s="207">
        <v>45036</v>
      </c>
      <c r="AS27" s="207">
        <v>45036</v>
      </c>
      <c r="AT27" s="207">
        <v>45036</v>
      </c>
      <c r="AU27" s="207">
        <v>45290</v>
      </c>
      <c r="AV27" s="205" t="s">
        <v>424</v>
      </c>
      <c r="AW27" s="205" t="s">
        <v>424</v>
      </c>
      <c r="AX27" s="208">
        <v>239170</v>
      </c>
      <c r="AY27" s="208">
        <v>287004</v>
      </c>
      <c r="AZ27" s="206" t="s">
        <v>522</v>
      </c>
      <c r="BA27" s="206" t="s">
        <v>511</v>
      </c>
      <c r="BB27" s="206" t="s">
        <v>523</v>
      </c>
      <c r="BC27" s="206" t="s">
        <v>524</v>
      </c>
      <c r="BD27" s="206" t="str">
        <f>CONCATENATE(BB27,", ",BA27,", ",N27,", ","договор № ",BC27)</f>
        <v>ООО "ПАРТНЕР-ТТ", ТМЦ, Поставка трансформаторов ТРДЦН ПС Строительная 220 кВ, договор № ПД-23-00119 от 20.04.2023</v>
      </c>
    </row>
    <row r="28" spans="1:56" s="209" customFormat="1" ht="303.7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525</v>
      </c>
      <c r="N28" s="205" t="s">
        <v>526</v>
      </c>
      <c r="O28" s="205" t="s">
        <v>513</v>
      </c>
      <c r="P28" s="206">
        <v>15902.09</v>
      </c>
      <c r="Q28" s="205" t="s">
        <v>514</v>
      </c>
      <c r="R28" s="206">
        <v>15902.09</v>
      </c>
      <c r="S28" s="205" t="s">
        <v>527</v>
      </c>
      <c r="T28" s="205" t="s">
        <v>527</v>
      </c>
      <c r="U28" s="205">
        <v>4</v>
      </c>
      <c r="V28" s="205">
        <v>14</v>
      </c>
      <c r="W28" s="205" t="s">
        <v>528</v>
      </c>
      <c r="X28" s="205" t="s">
        <v>529</v>
      </c>
      <c r="Y28" s="205" t="s">
        <v>530</v>
      </c>
      <c r="Z28" s="205">
        <v>1</v>
      </c>
      <c r="AA28" s="205" t="s">
        <v>531</v>
      </c>
      <c r="AB28" s="206">
        <v>8000</v>
      </c>
      <c r="AC28" s="205" t="s">
        <v>532</v>
      </c>
      <c r="AD28" s="206">
        <v>9600</v>
      </c>
      <c r="AE28" s="247">
        <f t="shared" ref="AE28:AE86" si="49">IF(IFERROR(AD28-AY28,"нд")&lt;0,0,IFERROR(AD28-AY28,"нд"))</f>
        <v>0</v>
      </c>
      <c r="AF28" s="205">
        <v>32211419762</v>
      </c>
      <c r="AG28" s="205" t="s">
        <v>520</v>
      </c>
      <c r="AH28" s="205" t="s">
        <v>533</v>
      </c>
      <c r="AI28" s="207">
        <v>44712</v>
      </c>
      <c r="AJ28" s="207">
        <v>44708</v>
      </c>
      <c r="AK28" s="207">
        <v>44736</v>
      </c>
      <c r="AL28" s="207">
        <v>44757</v>
      </c>
      <c r="AM28" s="205" t="s">
        <v>424</v>
      </c>
      <c r="AN28" s="205" t="s">
        <v>424</v>
      </c>
      <c r="AO28" s="205" t="s">
        <v>424</v>
      </c>
      <c r="AP28" s="205" t="s">
        <v>424</v>
      </c>
      <c r="AQ28" s="207">
        <v>44777</v>
      </c>
      <c r="AR28" s="207">
        <v>44777</v>
      </c>
      <c r="AS28" s="207">
        <v>44777</v>
      </c>
      <c r="AT28" s="207">
        <v>44777</v>
      </c>
      <c r="AU28" s="207">
        <v>45655</v>
      </c>
      <c r="AV28" s="205" t="s">
        <v>534</v>
      </c>
      <c r="AW28" s="205" t="s">
        <v>424</v>
      </c>
      <c r="AX28" s="206">
        <v>8600</v>
      </c>
      <c r="AY28" s="206">
        <v>10320</v>
      </c>
      <c r="AZ28" s="206" t="s">
        <v>535</v>
      </c>
      <c r="BA28" s="206" t="s">
        <v>525</v>
      </c>
      <c r="BB28" s="206" t="s">
        <v>532</v>
      </c>
      <c r="BC28" s="206" t="s">
        <v>536</v>
      </c>
      <c r="BD28" s="206" t="str">
        <f t="shared" ref="BD28:BD86" si="50">CONCATENATE(BB28,", ",BA28,", ",N28,", ","договор № ",BC28)</f>
        <v xml:space="preserve">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537</v>
      </c>
      <c r="O29" s="205" t="s">
        <v>513</v>
      </c>
      <c r="P29" s="206">
        <v>27104.48</v>
      </c>
      <c r="Q29" s="205" t="s">
        <v>514</v>
      </c>
      <c r="R29" s="206">
        <v>27104.48</v>
      </c>
      <c r="S29" s="205" t="s">
        <v>538</v>
      </c>
      <c r="T29" s="205" t="s">
        <v>538</v>
      </c>
      <c r="U29" s="205">
        <v>3</v>
      </c>
      <c r="V29" s="205">
        <v>3</v>
      </c>
      <c r="W29" s="205" t="s">
        <v>539</v>
      </c>
      <c r="X29" s="205">
        <v>27104.48</v>
      </c>
      <c r="Y29" s="205" t="s">
        <v>540</v>
      </c>
      <c r="Z29" s="205">
        <v>1</v>
      </c>
      <c r="AA29" s="205">
        <v>26968.955000000002</v>
      </c>
      <c r="AB29" s="206">
        <v>26968.955000000002</v>
      </c>
      <c r="AC29" s="205" t="s">
        <v>541</v>
      </c>
      <c r="AD29" s="206">
        <v>32362.745999999999</v>
      </c>
      <c r="AE29" s="247">
        <f t="shared" si="49"/>
        <v>0</v>
      </c>
      <c r="AF29" s="205">
        <v>32312762590</v>
      </c>
      <c r="AG29" s="205" t="s">
        <v>520</v>
      </c>
      <c r="AH29" s="205" t="s">
        <v>533</v>
      </c>
      <c r="AI29" s="207">
        <v>45199</v>
      </c>
      <c r="AJ29" s="207">
        <v>45183</v>
      </c>
      <c r="AK29" s="207">
        <v>45192</v>
      </c>
      <c r="AL29" s="207">
        <v>45205</v>
      </c>
      <c r="AM29" s="205" t="s">
        <v>424</v>
      </c>
      <c r="AN29" s="205" t="s">
        <v>424</v>
      </c>
      <c r="AO29" s="205" t="s">
        <v>424</v>
      </c>
      <c r="AP29" s="205" t="s">
        <v>424</v>
      </c>
      <c r="AQ29" s="207">
        <v>45225</v>
      </c>
      <c r="AR29" s="207">
        <v>45223</v>
      </c>
      <c r="AS29" s="207">
        <v>45225</v>
      </c>
      <c r="AT29" s="207">
        <v>45223</v>
      </c>
      <c r="AU29" s="207">
        <v>45288</v>
      </c>
      <c r="AV29" s="205" t="s">
        <v>424</v>
      </c>
      <c r="AW29" s="205" t="s">
        <v>424</v>
      </c>
      <c r="AX29" s="206">
        <v>26968.954999999998</v>
      </c>
      <c r="AY29" s="206">
        <v>32362.745999999999</v>
      </c>
      <c r="AZ29" s="206" t="s">
        <v>522</v>
      </c>
      <c r="BA29" s="206" t="s">
        <v>511</v>
      </c>
      <c r="BB29" s="206" t="s">
        <v>541</v>
      </c>
      <c r="BC29" s="206" t="s">
        <v>542</v>
      </c>
      <c r="BD29" s="206" t="str">
        <f t="shared" si="50"/>
        <v>ОБЩЕСТВО С ОГРАНИЧЕННОЙ ОТВЕТСТВЕННОСТЬЮ "ИНЖЕНЕРНЫЙ ЦЕНТР СИБИРИ", ТМЦ, Поставка реакторов и оборудования к ним, договор № ПД-23-00310 от 24.10.2023</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511</v>
      </c>
      <c r="N30" s="205" t="s">
        <v>543</v>
      </c>
      <c r="O30" s="205" t="s">
        <v>513</v>
      </c>
      <c r="P30" s="206">
        <v>2150</v>
      </c>
      <c r="Q30" s="205" t="s">
        <v>514</v>
      </c>
      <c r="R30" s="206">
        <v>2150</v>
      </c>
      <c r="S30" s="205" t="s">
        <v>544</v>
      </c>
      <c r="T30" s="205" t="s">
        <v>544</v>
      </c>
      <c r="U30" s="205">
        <v>4</v>
      </c>
      <c r="V30" s="205">
        <v>2</v>
      </c>
      <c r="W30" s="205" t="s">
        <v>545</v>
      </c>
      <c r="X30" s="205" t="s">
        <v>546</v>
      </c>
      <c r="Y30" s="205" t="s">
        <v>547</v>
      </c>
      <c r="Z30" s="205">
        <v>1</v>
      </c>
      <c r="AA30" s="205">
        <v>2000</v>
      </c>
      <c r="AB30" s="206">
        <v>2000</v>
      </c>
      <c r="AC30" s="205" t="s">
        <v>548</v>
      </c>
      <c r="AD30" s="206">
        <v>2400</v>
      </c>
      <c r="AE30" s="247">
        <f t="shared" si="49"/>
        <v>0</v>
      </c>
      <c r="AF30" s="205">
        <v>32312767453</v>
      </c>
      <c r="AG30" s="205" t="s">
        <v>520</v>
      </c>
      <c r="AH30" s="205" t="s">
        <v>533</v>
      </c>
      <c r="AI30" s="207">
        <v>45199</v>
      </c>
      <c r="AJ30" s="207">
        <v>45184</v>
      </c>
      <c r="AK30" s="207">
        <v>45195</v>
      </c>
      <c r="AL30" s="207">
        <v>45205</v>
      </c>
      <c r="AM30" s="205" t="s">
        <v>424</v>
      </c>
      <c r="AN30" s="205" t="s">
        <v>424</v>
      </c>
      <c r="AO30" s="205" t="s">
        <v>424</v>
      </c>
      <c r="AP30" s="205" t="s">
        <v>424</v>
      </c>
      <c r="AQ30" s="207">
        <v>45225</v>
      </c>
      <c r="AR30" s="207">
        <v>45218</v>
      </c>
      <c r="AS30" s="207">
        <v>45225</v>
      </c>
      <c r="AT30" s="207">
        <v>45218</v>
      </c>
      <c r="AU30" s="207">
        <v>45288</v>
      </c>
      <c r="AV30" s="205" t="s">
        <v>424</v>
      </c>
      <c r="AW30" s="205" t="s">
        <v>424</v>
      </c>
      <c r="AX30" s="206">
        <v>2000</v>
      </c>
      <c r="AY30" s="206">
        <v>2400</v>
      </c>
      <c r="AZ30" s="206" t="s">
        <v>522</v>
      </c>
      <c r="BA30" s="206" t="s">
        <v>511</v>
      </c>
      <c r="BB30" s="206" t="s">
        <v>548</v>
      </c>
      <c r="BC30" s="206" t="s">
        <v>549</v>
      </c>
      <c r="BD30" s="206" t="str">
        <f t="shared" si="50"/>
        <v>ОБЩЕСТВО С ОГРАНИЧЕННОЙ ОТВЕТСТВЕННОСТЬЮ ТК "ЭНЕРГООБОРУДОВАНИЕ", ТМЦ, Поставка трансформаторов собственных нужд, договор № ПД-23-00311 от 20.10.2023</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550</v>
      </c>
      <c r="N31" s="205" t="s">
        <v>551</v>
      </c>
      <c r="O31" s="205" t="s">
        <v>513</v>
      </c>
      <c r="P31" s="206">
        <v>244698.08</v>
      </c>
      <c r="Q31" s="205" t="s">
        <v>514</v>
      </c>
      <c r="R31" s="206">
        <v>244698.08</v>
      </c>
      <c r="S31" s="205" t="s">
        <v>552</v>
      </c>
      <c r="T31" s="205" t="s">
        <v>552</v>
      </c>
      <c r="U31" s="205">
        <v>3</v>
      </c>
      <c r="V31" s="205">
        <v>3</v>
      </c>
      <c r="W31" s="205" t="s">
        <v>553</v>
      </c>
      <c r="X31" s="205" t="s">
        <v>554</v>
      </c>
      <c r="Y31" s="205" t="s">
        <v>555</v>
      </c>
      <c r="Z31" s="205">
        <v>1</v>
      </c>
      <c r="AA31" s="205">
        <v>243698.07500000001</v>
      </c>
      <c r="AB31" s="206">
        <v>243698.07500000001</v>
      </c>
      <c r="AC31" s="205" t="s">
        <v>556</v>
      </c>
      <c r="AD31" s="206">
        <v>292437.69</v>
      </c>
      <c r="AE31" s="247">
        <f t="shared" si="49"/>
        <v>50713.695760000002</v>
      </c>
      <c r="AF31" s="205">
        <v>32313152004</v>
      </c>
      <c r="AG31" s="205" t="s">
        <v>520</v>
      </c>
      <c r="AH31" s="205" t="s">
        <v>533</v>
      </c>
      <c r="AI31" s="207">
        <v>45291</v>
      </c>
      <c r="AJ31" s="207">
        <v>45289</v>
      </c>
      <c r="AK31" s="207">
        <v>45316</v>
      </c>
      <c r="AL31" s="207">
        <v>45336</v>
      </c>
      <c r="AM31" s="205" t="s">
        <v>424</v>
      </c>
      <c r="AN31" s="205" t="s">
        <v>424</v>
      </c>
      <c r="AO31" s="205" t="s">
        <v>424</v>
      </c>
      <c r="AP31" s="205" t="s">
        <v>424</v>
      </c>
      <c r="AQ31" s="207" t="s">
        <v>557</v>
      </c>
      <c r="AR31" s="207">
        <v>45369</v>
      </c>
      <c r="AS31" s="207">
        <v>45368</v>
      </c>
      <c r="AT31" s="207">
        <v>45369</v>
      </c>
      <c r="AU31" s="207">
        <v>46021</v>
      </c>
      <c r="AV31" s="205" t="s">
        <v>558</v>
      </c>
      <c r="AW31" s="205" t="s">
        <v>424</v>
      </c>
      <c r="AX31" s="206">
        <v>191555.18772999998</v>
      </c>
      <c r="AY31" s="206">
        <v>241723.99424</v>
      </c>
      <c r="AZ31" s="206" t="s">
        <v>535</v>
      </c>
      <c r="BA31" s="206" t="s">
        <v>550</v>
      </c>
      <c r="BB31" s="206" t="s">
        <v>556</v>
      </c>
      <c r="BC31" s="206" t="s">
        <v>559</v>
      </c>
      <c r="BD31" s="206" t="str">
        <f t="shared" si="50"/>
        <v>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511</v>
      </c>
      <c r="N32" s="205" t="s">
        <v>560</v>
      </c>
      <c r="O32" s="205" t="s">
        <v>513</v>
      </c>
      <c r="P32" s="206">
        <v>11634</v>
      </c>
      <c r="Q32" s="205" t="s">
        <v>514</v>
      </c>
      <c r="R32" s="206">
        <v>11634</v>
      </c>
      <c r="S32" s="205" t="s">
        <v>552</v>
      </c>
      <c r="T32" s="205" t="s">
        <v>552</v>
      </c>
      <c r="U32" s="205">
        <v>3</v>
      </c>
      <c r="V32" s="205">
        <v>3</v>
      </c>
      <c r="W32" s="205" t="s">
        <v>561</v>
      </c>
      <c r="X32" s="205" t="s">
        <v>562</v>
      </c>
      <c r="Y32" s="205" t="s">
        <v>563</v>
      </c>
      <c r="Z32" s="205">
        <v>1</v>
      </c>
      <c r="AA32" s="205" t="s">
        <v>564</v>
      </c>
      <c r="AB32" s="206">
        <v>11549</v>
      </c>
      <c r="AC32" s="205" t="s">
        <v>565</v>
      </c>
      <c r="AD32" s="206">
        <v>13858.8</v>
      </c>
      <c r="AE32" s="247">
        <f t="shared" si="49"/>
        <v>0</v>
      </c>
      <c r="AF32" s="205">
        <v>32413388441</v>
      </c>
      <c r="AG32" s="205" t="s">
        <v>520</v>
      </c>
      <c r="AH32" s="205" t="s">
        <v>533</v>
      </c>
      <c r="AI32" s="207">
        <v>45382</v>
      </c>
      <c r="AJ32" s="207">
        <v>45366</v>
      </c>
      <c r="AK32" s="207">
        <v>45376</v>
      </c>
      <c r="AL32" s="207">
        <v>45399</v>
      </c>
      <c r="AM32" s="205" t="s">
        <v>424</v>
      </c>
      <c r="AN32" s="205" t="s">
        <v>424</v>
      </c>
      <c r="AO32" s="205" t="s">
        <v>424</v>
      </c>
      <c r="AP32" s="205" t="s">
        <v>424</v>
      </c>
      <c r="AQ32" s="207">
        <v>45419</v>
      </c>
      <c r="AR32" s="207">
        <v>45414</v>
      </c>
      <c r="AS32" s="207">
        <v>45419</v>
      </c>
      <c r="AT32" s="207">
        <v>45414</v>
      </c>
      <c r="AU32" s="207">
        <v>45534</v>
      </c>
      <c r="AV32" s="205" t="s">
        <v>424</v>
      </c>
      <c r="AW32" s="205" t="s">
        <v>424</v>
      </c>
      <c r="AX32" s="206">
        <v>11549</v>
      </c>
      <c r="AY32" s="206">
        <v>13858.8</v>
      </c>
      <c r="AZ32" s="206" t="s">
        <v>522</v>
      </c>
      <c r="BA32" s="206" t="s">
        <v>511</v>
      </c>
      <c r="BB32" s="206" t="s">
        <v>566</v>
      </c>
      <c r="BC32" s="206" t="s">
        <v>567</v>
      </c>
      <c r="BD32" s="206" t="str">
        <f t="shared" si="50"/>
        <v>ООО «ЭКРА-ВОСТОК», ТМЦ, Поставка шкафов защит, договор № ПД-24-00091 от 02.05.2024</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511</v>
      </c>
      <c r="N33" s="205" t="s">
        <v>568</v>
      </c>
      <c r="O33" s="205" t="s">
        <v>513</v>
      </c>
      <c r="P33" s="206">
        <v>54042.5</v>
      </c>
      <c r="Q33" s="205" t="s">
        <v>514</v>
      </c>
      <c r="R33" s="206">
        <v>54042.5</v>
      </c>
      <c r="S33" s="205" t="s">
        <v>552</v>
      </c>
      <c r="T33" s="205" t="s">
        <v>552</v>
      </c>
      <c r="U33" s="205">
        <v>3</v>
      </c>
      <c r="V33" s="205">
        <v>1</v>
      </c>
      <c r="W33" s="205" t="s">
        <v>556</v>
      </c>
      <c r="X33" s="205">
        <v>54042</v>
      </c>
      <c r="Y33" s="205" t="s">
        <v>554</v>
      </c>
      <c r="Z33" s="205">
        <v>1</v>
      </c>
      <c r="AA33" s="205">
        <v>53900</v>
      </c>
      <c r="AB33" s="206">
        <v>53900</v>
      </c>
      <c r="AC33" s="205" t="s">
        <v>556</v>
      </c>
      <c r="AD33" s="206">
        <v>64680</v>
      </c>
      <c r="AE33" s="247">
        <f t="shared" si="49"/>
        <v>3395.4000000000015</v>
      </c>
      <c r="AF33" s="205">
        <v>32413447924</v>
      </c>
      <c r="AG33" s="205" t="s">
        <v>520</v>
      </c>
      <c r="AH33" s="205" t="s">
        <v>533</v>
      </c>
      <c r="AI33" s="207">
        <v>45382</v>
      </c>
      <c r="AJ33" s="207">
        <v>45380</v>
      </c>
      <c r="AK33" s="207">
        <v>45397</v>
      </c>
      <c r="AL33" s="207">
        <v>45409</v>
      </c>
      <c r="AM33" s="205" t="s">
        <v>424</v>
      </c>
      <c r="AN33" s="205" t="s">
        <v>424</v>
      </c>
      <c r="AO33" s="205" t="s">
        <v>424</v>
      </c>
      <c r="AP33" s="205" t="s">
        <v>424</v>
      </c>
      <c r="AQ33" s="207">
        <v>45429</v>
      </c>
      <c r="AR33" s="207">
        <v>45427</v>
      </c>
      <c r="AS33" s="207">
        <v>45429</v>
      </c>
      <c r="AT33" s="207">
        <v>45427</v>
      </c>
      <c r="AU33" s="207">
        <v>45960</v>
      </c>
      <c r="AV33" s="205" t="s">
        <v>558</v>
      </c>
      <c r="AW33" s="205" t="s">
        <v>424</v>
      </c>
      <c r="AX33" s="206">
        <v>52650</v>
      </c>
      <c r="AY33" s="206">
        <v>61284.6</v>
      </c>
      <c r="AZ33" s="206" t="s">
        <v>522</v>
      </c>
      <c r="BA33" s="206" t="s">
        <v>511</v>
      </c>
      <c r="BB33" s="206" t="s">
        <v>556</v>
      </c>
      <c r="BC33" s="206" t="s">
        <v>569</v>
      </c>
      <c r="BD33" s="206" t="str">
        <f t="shared" si="50"/>
        <v>ОБЩЕСТВО С ОГРАНИЧЕННОЙ ОТВЕТСТВЕННОСТЬЮ "ВЕЛЛЭНЕРДЖИ", ТМЦ, Поставка токопровода, договор № ПД-24-00100 от 15.05.2024</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550</v>
      </c>
      <c r="N34" s="205" t="s">
        <v>570</v>
      </c>
      <c r="O34" s="205" t="s">
        <v>513</v>
      </c>
      <c r="P34" s="206">
        <v>803.1</v>
      </c>
      <c r="Q34" s="205" t="s">
        <v>514</v>
      </c>
      <c r="R34" s="206">
        <v>803.1</v>
      </c>
      <c r="S34" s="205" t="s">
        <v>552</v>
      </c>
      <c r="T34" s="205" t="s">
        <v>552</v>
      </c>
      <c r="U34" s="205">
        <v>3</v>
      </c>
      <c r="V34" s="205">
        <v>1</v>
      </c>
      <c r="W34" s="205" t="s">
        <v>556</v>
      </c>
      <c r="X34" s="205">
        <v>803.1</v>
      </c>
      <c r="Y34" s="205" t="s">
        <v>554</v>
      </c>
      <c r="Z34" s="205">
        <v>1</v>
      </c>
      <c r="AA34" s="205">
        <v>800</v>
      </c>
      <c r="AB34" s="206">
        <v>800</v>
      </c>
      <c r="AC34" s="205" t="s">
        <v>556</v>
      </c>
      <c r="AD34" s="206">
        <v>960</v>
      </c>
      <c r="AE34" s="247">
        <f t="shared" si="49"/>
        <v>0</v>
      </c>
      <c r="AF34" s="205">
        <v>32413574883</v>
      </c>
      <c r="AG34" s="205" t="s">
        <v>520</v>
      </c>
      <c r="AH34" s="205" t="s">
        <v>533</v>
      </c>
      <c r="AI34" s="207">
        <v>45443</v>
      </c>
      <c r="AJ34" s="207">
        <v>45418</v>
      </c>
      <c r="AK34" s="207">
        <v>45427</v>
      </c>
      <c r="AL34" s="207">
        <v>45433</v>
      </c>
      <c r="AM34" s="205" t="s">
        <v>424</v>
      </c>
      <c r="AN34" s="205" t="s">
        <v>424</v>
      </c>
      <c r="AO34" s="205" t="s">
        <v>424</v>
      </c>
      <c r="AP34" s="205" t="s">
        <v>424</v>
      </c>
      <c r="AQ34" s="207">
        <v>45453</v>
      </c>
      <c r="AR34" s="207">
        <v>45450</v>
      </c>
      <c r="AS34" s="207">
        <v>45453</v>
      </c>
      <c r="AT34" s="207">
        <v>45450</v>
      </c>
      <c r="AU34" s="207">
        <v>46021</v>
      </c>
      <c r="AV34" s="205" t="s">
        <v>558</v>
      </c>
      <c r="AW34" s="205" t="s">
        <v>424</v>
      </c>
      <c r="AX34" s="206">
        <v>800</v>
      </c>
      <c r="AY34" s="206">
        <v>960</v>
      </c>
      <c r="AZ34" s="206" t="s">
        <v>535</v>
      </c>
      <c r="BA34" s="206" t="s">
        <v>550</v>
      </c>
      <c r="BB34" s="206" t="s">
        <v>571</v>
      </c>
      <c r="BC34" s="206" t="s">
        <v>572</v>
      </c>
      <c r="BD34" s="206" t="str">
        <f t="shared" si="50"/>
        <v xml:space="preserve">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550</v>
      </c>
      <c r="N35" s="205" t="s">
        <v>573</v>
      </c>
      <c r="O35" s="205" t="s">
        <v>513</v>
      </c>
      <c r="P35" s="206">
        <v>12172.18</v>
      </c>
      <c r="Q35" s="205" t="s">
        <v>514</v>
      </c>
      <c r="R35" s="206">
        <v>12172.18</v>
      </c>
      <c r="S35" s="205" t="s">
        <v>527</v>
      </c>
      <c r="T35" s="205" t="s">
        <v>527</v>
      </c>
      <c r="U35" s="205">
        <v>3</v>
      </c>
      <c r="V35" s="205">
        <v>1</v>
      </c>
      <c r="W35" s="205" t="s">
        <v>574</v>
      </c>
      <c r="X35" s="205">
        <v>12172.18</v>
      </c>
      <c r="Y35" s="205" t="s">
        <v>554</v>
      </c>
      <c r="Z35" s="205">
        <v>1</v>
      </c>
      <c r="AA35" s="205">
        <v>12172.18</v>
      </c>
      <c r="AB35" s="206">
        <v>12172.18</v>
      </c>
      <c r="AC35" s="205" t="s">
        <v>574</v>
      </c>
      <c r="AD35" s="206">
        <v>14606.616</v>
      </c>
      <c r="AE35" s="247">
        <f t="shared" si="49"/>
        <v>14606.616</v>
      </c>
      <c r="AF35" s="205">
        <v>32413654956</v>
      </c>
      <c r="AG35" s="205" t="s">
        <v>520</v>
      </c>
      <c r="AH35" s="205" t="s">
        <v>533</v>
      </c>
      <c r="AI35" s="207">
        <v>45443</v>
      </c>
      <c r="AJ35" s="207">
        <v>45442</v>
      </c>
      <c r="AK35" s="207">
        <v>45470</v>
      </c>
      <c r="AL35" s="207">
        <v>45483</v>
      </c>
      <c r="AM35" s="205" t="s">
        <v>424</v>
      </c>
      <c r="AN35" s="205" t="s">
        <v>424</v>
      </c>
      <c r="AO35" s="205" t="s">
        <v>424</v>
      </c>
      <c r="AP35" s="205" t="s">
        <v>424</v>
      </c>
      <c r="AQ35" s="207">
        <v>45503</v>
      </c>
      <c r="AR35" s="207">
        <v>45503</v>
      </c>
      <c r="AS35" s="207">
        <v>45503</v>
      </c>
      <c r="AT35" s="207">
        <v>45503</v>
      </c>
      <c r="AU35" s="207">
        <v>46021</v>
      </c>
      <c r="AV35" s="205" t="s">
        <v>558</v>
      </c>
      <c r="AW35" s="205" t="s">
        <v>424</v>
      </c>
      <c r="AX35" s="206">
        <v>0</v>
      </c>
      <c r="AY35" s="206">
        <v>0</v>
      </c>
      <c r="AZ35" s="206" t="s">
        <v>535</v>
      </c>
      <c r="BA35" s="206" t="s">
        <v>550</v>
      </c>
      <c r="BB35" s="206" t="s">
        <v>574</v>
      </c>
      <c r="BC35" s="206" t="s">
        <v>575</v>
      </c>
      <c r="BD35" s="206" t="str">
        <f t="shared" si="50"/>
        <v>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ИП-24-00160 от 30.07.2024</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576</v>
      </c>
      <c r="N36" s="205" t="s">
        <v>577</v>
      </c>
      <c r="O36" s="205" t="s">
        <v>513</v>
      </c>
      <c r="P36" s="206">
        <v>133419.39251999999</v>
      </c>
      <c r="Q36" s="205" t="s">
        <v>514</v>
      </c>
      <c r="R36" s="206">
        <v>133419.39251999999</v>
      </c>
      <c r="S36" s="205" t="s">
        <v>527</v>
      </c>
      <c r="T36" s="205" t="s">
        <v>527</v>
      </c>
      <c r="U36" s="205">
        <v>3</v>
      </c>
      <c r="V36" s="205" t="s">
        <v>424</v>
      </c>
      <c r="W36" s="205" t="s">
        <v>554</v>
      </c>
      <c r="X36" s="205" t="s">
        <v>554</v>
      </c>
      <c r="Y36" s="205" t="s">
        <v>554</v>
      </c>
      <c r="Z36" s="205" t="s">
        <v>554</v>
      </c>
      <c r="AA36" s="205" t="s">
        <v>554</v>
      </c>
      <c r="AB36" s="206" t="s">
        <v>554</v>
      </c>
      <c r="AC36" s="205" t="s">
        <v>554</v>
      </c>
      <c r="AD36" s="206" t="s">
        <v>554</v>
      </c>
      <c r="AE36" s="247" t="str">
        <f t="shared" si="49"/>
        <v>нд</v>
      </c>
      <c r="AF36" s="205">
        <v>32414240361</v>
      </c>
      <c r="AG36" s="205" t="s">
        <v>520</v>
      </c>
      <c r="AH36" s="205" t="s">
        <v>533</v>
      </c>
      <c r="AI36" s="207">
        <v>45626</v>
      </c>
      <c r="AJ36" s="207">
        <v>45621</v>
      </c>
      <c r="AK36" s="207">
        <v>45637</v>
      </c>
      <c r="AL36" s="207">
        <v>45681</v>
      </c>
      <c r="AM36" s="205" t="s">
        <v>424</v>
      </c>
      <c r="AN36" s="205" t="s">
        <v>424</v>
      </c>
      <c r="AO36" s="205" t="s">
        <v>424</v>
      </c>
      <c r="AP36" s="205" t="s">
        <v>424</v>
      </c>
      <c r="AQ36" s="207" t="s">
        <v>554</v>
      </c>
      <c r="AR36" s="207" t="s">
        <v>554</v>
      </c>
      <c r="AS36" s="207" t="s">
        <v>554</v>
      </c>
      <c r="AT36" s="207" t="s">
        <v>554</v>
      </c>
      <c r="AU36" s="207" t="s">
        <v>554</v>
      </c>
      <c r="AV36" s="205" t="s">
        <v>424</v>
      </c>
      <c r="AW36" s="205" t="s">
        <v>424</v>
      </c>
      <c r="AX36" s="206">
        <v>0</v>
      </c>
      <c r="AY36" s="206">
        <v>0</v>
      </c>
      <c r="AZ36" s="206" t="s">
        <v>424</v>
      </c>
      <c r="BA36" s="206" t="s">
        <v>424</v>
      </c>
      <c r="BB36" s="206" t="s">
        <v>554</v>
      </c>
      <c r="BC36" s="206" t="s">
        <v>578</v>
      </c>
      <c r="BD36" s="206" t="str">
        <f t="shared" si="50"/>
        <v>-, нд, Выполнение   строительно-монтажных и пусконаладочных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договор № Закупочная процедура признана несостоявшейся</v>
      </c>
    </row>
    <row r="37" spans="1:56" s="209" customFormat="1" ht="13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576</v>
      </c>
      <c r="N37" s="205" t="s">
        <v>579</v>
      </c>
      <c r="O37" s="205" t="s">
        <v>513</v>
      </c>
      <c r="P37" s="206">
        <v>133419.39251999999</v>
      </c>
      <c r="Q37" s="205" t="s">
        <v>514</v>
      </c>
      <c r="R37" s="206">
        <v>133419.39251999999</v>
      </c>
      <c r="S37" s="205" t="s">
        <v>424</v>
      </c>
      <c r="T37" s="205" t="s">
        <v>424</v>
      </c>
      <c r="U37" s="205" t="s">
        <v>424</v>
      </c>
      <c r="V37" s="205" t="s">
        <v>424</v>
      </c>
      <c r="W37" s="205" t="s">
        <v>574</v>
      </c>
      <c r="X37" s="205">
        <v>133419.39251999999</v>
      </c>
      <c r="Y37" s="205" t="s">
        <v>554</v>
      </c>
      <c r="Z37" s="205">
        <v>1</v>
      </c>
      <c r="AA37" s="205">
        <v>133419.39251999999</v>
      </c>
      <c r="AB37" s="206">
        <v>133419.39251999999</v>
      </c>
      <c r="AC37" s="205" t="s">
        <v>574</v>
      </c>
      <c r="AD37" s="206">
        <v>160103.27102399999</v>
      </c>
      <c r="AE37" s="247">
        <f t="shared" si="49"/>
        <v>160103.27102399999</v>
      </c>
      <c r="AF37" s="205">
        <v>32514505816</v>
      </c>
      <c r="AG37" s="205" t="s">
        <v>520</v>
      </c>
      <c r="AH37" s="205" t="s">
        <v>533</v>
      </c>
      <c r="AI37" s="207">
        <v>45716</v>
      </c>
      <c r="AJ37" s="207">
        <v>45700</v>
      </c>
      <c r="AK37" s="207">
        <v>45726</v>
      </c>
      <c r="AL37" s="207">
        <v>45737</v>
      </c>
      <c r="AM37" s="205" t="s">
        <v>424</v>
      </c>
      <c r="AN37" s="205" t="s">
        <v>424</v>
      </c>
      <c r="AO37" s="205" t="s">
        <v>424</v>
      </c>
      <c r="AP37" s="205" t="s">
        <v>424</v>
      </c>
      <c r="AQ37" s="207">
        <v>45757</v>
      </c>
      <c r="AR37" s="207">
        <v>45757</v>
      </c>
      <c r="AS37" s="207">
        <v>45757</v>
      </c>
      <c r="AT37" s="207">
        <v>45757</v>
      </c>
      <c r="AU37" s="207">
        <v>45991</v>
      </c>
      <c r="AV37" s="205" t="s">
        <v>424</v>
      </c>
      <c r="AW37" s="205" t="s">
        <v>424</v>
      </c>
      <c r="AX37" s="206">
        <v>0</v>
      </c>
      <c r="AY37" s="206">
        <v>0</v>
      </c>
      <c r="AZ37" s="206" t="s">
        <v>535</v>
      </c>
      <c r="BA37" s="206" t="s">
        <v>550</v>
      </c>
      <c r="BB37" s="206" t="s">
        <v>574</v>
      </c>
      <c r="BC37" s="206" t="s">
        <v>580</v>
      </c>
      <c r="BD37" s="206" t="str">
        <f t="shared" si="50"/>
        <v>АКЦИОНЕРНОЕ ОБЩЕСТВО "РЕМОНТЭНЕРГОМОНТАЖ И СЕРВИС", СМР, 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 договор № ИП-25-00120 от 10.04.2025</v>
      </c>
    </row>
    <row r="38" spans="1:56" s="209" customFormat="1" ht="236.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511</v>
      </c>
      <c r="N38" s="205" t="s">
        <v>581</v>
      </c>
      <c r="O38" s="205" t="s">
        <v>513</v>
      </c>
      <c r="P38" s="206">
        <v>9676.7999999999993</v>
      </c>
      <c r="Q38" s="205" t="s">
        <v>514</v>
      </c>
      <c r="R38" s="206">
        <v>9676.7999999999993</v>
      </c>
      <c r="S38" s="205" t="s">
        <v>515</v>
      </c>
      <c r="T38" s="205" t="s">
        <v>515</v>
      </c>
      <c r="U38" s="205">
        <v>3</v>
      </c>
      <c r="V38" s="205">
        <v>5</v>
      </c>
      <c r="W38" s="205" t="s">
        <v>582</v>
      </c>
      <c r="X38" s="205">
        <v>9676.7999999999993</v>
      </c>
      <c r="Y38" s="205" t="s">
        <v>583</v>
      </c>
      <c r="Z38" s="205">
        <v>1</v>
      </c>
      <c r="AA38" s="205">
        <v>9628.4159999999993</v>
      </c>
      <c r="AB38" s="206">
        <v>9628.4159999999993</v>
      </c>
      <c r="AC38" s="205" t="s">
        <v>541</v>
      </c>
      <c r="AD38" s="206">
        <v>11554.099199999999</v>
      </c>
      <c r="AE38" s="247">
        <f t="shared" si="49"/>
        <v>0</v>
      </c>
      <c r="AF38" s="205">
        <v>32312767448</v>
      </c>
      <c r="AG38" s="205" t="s">
        <v>520</v>
      </c>
      <c r="AH38" s="205" t="s">
        <v>533</v>
      </c>
      <c r="AI38" s="207">
        <v>45199</v>
      </c>
      <c r="AJ38" s="207">
        <v>45184</v>
      </c>
      <c r="AK38" s="207">
        <v>45202</v>
      </c>
      <c r="AL38" s="207">
        <v>45212</v>
      </c>
      <c r="AM38" s="205" t="s">
        <v>424</v>
      </c>
      <c r="AN38" s="205" t="s">
        <v>424</v>
      </c>
      <c r="AO38" s="205" t="s">
        <v>424</v>
      </c>
      <c r="AP38" s="205" t="s">
        <v>424</v>
      </c>
      <c r="AQ38" s="207">
        <v>45232</v>
      </c>
      <c r="AR38" s="207">
        <v>45224</v>
      </c>
      <c r="AS38" s="207">
        <v>45232</v>
      </c>
      <c r="AT38" s="207">
        <v>45224</v>
      </c>
      <c r="AU38" s="207">
        <v>45288</v>
      </c>
      <c r="AV38" s="205" t="s">
        <v>424</v>
      </c>
      <c r="AW38" s="205" t="s">
        <v>424</v>
      </c>
      <c r="AX38" s="206">
        <v>9628.4159999999993</v>
      </c>
      <c r="AY38" s="206">
        <v>11554.099200000001</v>
      </c>
      <c r="AZ38" s="206" t="s">
        <v>522</v>
      </c>
      <c r="BA38" s="206" t="s">
        <v>511</v>
      </c>
      <c r="BB38" s="206" t="s">
        <v>541</v>
      </c>
      <c r="BC38" s="206" t="s">
        <v>584</v>
      </c>
      <c r="BD38" s="206" t="str">
        <f t="shared" si="50"/>
        <v>ОБЩЕСТВО С ОГРАНИЧЕННОЙ ОТВЕТСТВЕННОСТЬЮ "ИНЖЕНЕРНЫЙ ЦЕНТР СИБИРИ", ТМЦ, Поставка реакторов токоограничивающих, договор № ПД-23-00320 от 25.10.2023</v>
      </c>
    </row>
    <row r="39" spans="1:56" s="209" customFormat="1" ht="13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550</v>
      </c>
      <c r="N39" s="205" t="s">
        <v>638</v>
      </c>
      <c r="O39" s="205" t="s">
        <v>513</v>
      </c>
      <c r="P39" s="206">
        <v>1413.10034</v>
      </c>
      <c r="Q39" s="205" t="s">
        <v>514</v>
      </c>
      <c r="R39" s="206">
        <v>1413.10034</v>
      </c>
      <c r="S39" s="205" t="s">
        <v>639</v>
      </c>
      <c r="T39" s="205" t="s">
        <v>639</v>
      </c>
      <c r="U39" s="205">
        <v>1</v>
      </c>
      <c r="V39" s="205">
        <v>1</v>
      </c>
      <c r="W39" s="205" t="s">
        <v>554</v>
      </c>
      <c r="X39" s="205" t="s">
        <v>554</v>
      </c>
      <c r="Y39" s="205" t="s">
        <v>554</v>
      </c>
      <c r="Z39" s="205" t="s">
        <v>554</v>
      </c>
      <c r="AA39" s="205" t="s">
        <v>554</v>
      </c>
      <c r="AB39" s="206">
        <v>1413.1003416666667</v>
      </c>
      <c r="AC39" s="205" t="s">
        <v>640</v>
      </c>
      <c r="AD39" s="206">
        <v>1695.7204099999999</v>
      </c>
      <c r="AE39" s="247">
        <f t="shared" si="49"/>
        <v>1695.7204099999999</v>
      </c>
      <c r="AF39" s="205" t="s">
        <v>554</v>
      </c>
      <c r="AG39" s="205" t="s">
        <v>554</v>
      </c>
      <c r="AH39" s="205" t="s">
        <v>554</v>
      </c>
      <c r="AI39" s="205" t="s">
        <v>554</v>
      </c>
      <c r="AJ39" s="205" t="s">
        <v>554</v>
      </c>
      <c r="AK39" s="205" t="s">
        <v>554</v>
      </c>
      <c r="AL39" s="205" t="s">
        <v>554</v>
      </c>
      <c r="AM39" s="205" t="s">
        <v>641</v>
      </c>
      <c r="AN39" s="205" t="s">
        <v>642</v>
      </c>
      <c r="AO39" s="207">
        <v>45824</v>
      </c>
      <c r="AP39" s="205">
        <v>26</v>
      </c>
      <c r="AQ39" s="207">
        <v>45854</v>
      </c>
      <c r="AR39" s="207">
        <v>45894</v>
      </c>
      <c r="AS39" s="207">
        <v>45884</v>
      </c>
      <c r="AT39" s="207">
        <v>45894</v>
      </c>
      <c r="AU39" s="207">
        <v>45960</v>
      </c>
      <c r="AV39" s="205" t="s">
        <v>424</v>
      </c>
      <c r="AW39" s="205" t="s">
        <v>424</v>
      </c>
      <c r="AX39" s="206">
        <v>0</v>
      </c>
      <c r="AY39" s="206">
        <v>0</v>
      </c>
      <c r="AZ39" s="206" t="s">
        <v>535</v>
      </c>
      <c r="BA39" s="206" t="s">
        <v>550</v>
      </c>
      <c r="BB39" s="206" t="s">
        <v>640</v>
      </c>
      <c r="BC39" s="206" t="s">
        <v>643</v>
      </c>
      <c r="BD39" s="206" t="str">
        <f t="shared" si="50"/>
        <v>АКЦИОНЕРНОЕ ОБЩЕСТВО "РЕМОНТЭНЕРГОМОНТАЖ И СЕРВИС, СМР, Выполнение дополнительных строительно-монтажных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 договор № ИП-25-00120-ДС002 от 25.08.2025</v>
      </c>
    </row>
    <row r="40" spans="1:56" s="209" customFormat="1" ht="146.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550</v>
      </c>
      <c r="N40" s="205" t="s">
        <v>644</v>
      </c>
      <c r="O40" s="205" t="s">
        <v>513</v>
      </c>
      <c r="P40" s="206">
        <v>234335.33327999999</v>
      </c>
      <c r="Q40" s="205" t="s">
        <v>514</v>
      </c>
      <c r="R40" s="206">
        <v>234335.33327999999</v>
      </c>
      <c r="S40" s="205" t="s">
        <v>527</v>
      </c>
      <c r="T40" s="205" t="s">
        <v>527</v>
      </c>
      <c r="U40" s="205">
        <v>3</v>
      </c>
      <c r="V40" s="205">
        <v>1</v>
      </c>
      <c r="W40" s="205" t="s">
        <v>574</v>
      </c>
      <c r="X40" s="205">
        <v>234335.33327999999</v>
      </c>
      <c r="Y40" s="205"/>
      <c r="Z40" s="205"/>
      <c r="AA40" s="205"/>
      <c r="AB40" s="206"/>
      <c r="AC40" s="205"/>
      <c r="AD40" s="206"/>
      <c r="AE40" s="247">
        <f t="shared" si="49"/>
        <v>0</v>
      </c>
      <c r="AF40" s="205">
        <v>32515169846</v>
      </c>
      <c r="AG40" s="205" t="s">
        <v>520</v>
      </c>
      <c r="AH40" s="205" t="s">
        <v>533</v>
      </c>
      <c r="AI40" s="207">
        <v>45900</v>
      </c>
      <c r="AJ40" s="207">
        <v>45898</v>
      </c>
      <c r="AK40" s="207">
        <v>45915</v>
      </c>
      <c r="AL40" s="207"/>
      <c r="AM40" s="205"/>
      <c r="AN40" s="205"/>
      <c r="AO40" s="205"/>
      <c r="AP40" s="205"/>
      <c r="AQ40" s="207"/>
      <c r="AR40" s="207"/>
      <c r="AS40" s="207"/>
      <c r="AT40" s="207"/>
      <c r="AU40" s="207"/>
      <c r="AV40" s="205" t="s">
        <v>424</v>
      </c>
      <c r="AW40" s="205" t="s">
        <v>424</v>
      </c>
      <c r="AX40" s="206">
        <v>0</v>
      </c>
      <c r="AY40" s="206">
        <v>0</v>
      </c>
      <c r="AZ40" s="206" t="s">
        <v>535</v>
      </c>
      <c r="BA40" s="206" t="s">
        <v>550</v>
      </c>
      <c r="BB40" s="206" t="s">
        <v>424</v>
      </c>
      <c r="BC40" s="206" t="s">
        <v>424</v>
      </c>
      <c r="BD40" s="206" t="str">
        <f t="shared" si="50"/>
        <v>нд, СМР, 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(2 этап 2ПК, 3 этап, 4 этап),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645</v>
      </c>
      <c r="N41" s="205" t="s">
        <v>646</v>
      </c>
      <c r="O41" s="205" t="s">
        <v>513</v>
      </c>
      <c r="P41" s="206">
        <v>416.13</v>
      </c>
      <c r="Q41" s="205" t="s">
        <v>514</v>
      </c>
      <c r="R41" s="206">
        <v>416.13</v>
      </c>
      <c r="S41" s="205" t="s">
        <v>639</v>
      </c>
      <c r="T41" s="205" t="s">
        <v>639</v>
      </c>
      <c r="U41" s="205">
        <v>1</v>
      </c>
      <c r="V41" s="205">
        <v>1</v>
      </c>
      <c r="W41" s="205"/>
      <c r="X41" s="205"/>
      <c r="Y41" s="205"/>
      <c r="Z41" s="205"/>
      <c r="AA41" s="205"/>
      <c r="AB41" s="206">
        <v>416.13</v>
      </c>
      <c r="AC41" s="205" t="s">
        <v>647</v>
      </c>
      <c r="AD41" s="206">
        <v>499.35599999999999</v>
      </c>
      <c r="AE41" s="247">
        <f t="shared" si="49"/>
        <v>499.35599999999999</v>
      </c>
      <c r="AF41" s="205"/>
      <c r="AG41" s="205" t="s">
        <v>648</v>
      </c>
      <c r="AH41" s="205"/>
      <c r="AI41" s="207"/>
      <c r="AJ41" s="207"/>
      <c r="AK41" s="207"/>
      <c r="AL41" s="207"/>
      <c r="AM41" s="205" t="s">
        <v>649</v>
      </c>
      <c r="AN41" s="205" t="s">
        <v>642</v>
      </c>
      <c r="AO41" s="205">
        <v>45922</v>
      </c>
      <c r="AP41" s="205">
        <v>44</v>
      </c>
      <c r="AQ41" s="207">
        <v>45952</v>
      </c>
      <c r="AR41" s="207">
        <v>45923</v>
      </c>
      <c r="AS41" s="207">
        <v>45952</v>
      </c>
      <c r="AT41" s="207">
        <v>45923</v>
      </c>
      <c r="AU41" s="207">
        <v>46022</v>
      </c>
      <c r="AV41" s="205" t="s">
        <v>424</v>
      </c>
      <c r="AW41" s="205" t="s">
        <v>424</v>
      </c>
      <c r="AX41" s="206">
        <v>0</v>
      </c>
      <c r="AY41" s="206">
        <v>0</v>
      </c>
      <c r="AZ41" s="206" t="s">
        <v>535</v>
      </c>
      <c r="BA41" s="206" t="s">
        <v>645</v>
      </c>
      <c r="BB41" s="206" t="s">
        <v>647</v>
      </c>
      <c r="BC41" s="206" t="s">
        <v>650</v>
      </c>
      <c r="BD41" s="206" t="str">
        <f t="shared" si="50"/>
        <v>ООО «СмартСтафф» , Работы, Выполнение погрузочно – разгрузочных работ, договор № ИП-25-00331 от 23.09.2025</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M_00.0014.000014</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607</v>
      </c>
    </row>
    <row r="22" spans="1:2" x14ac:dyDescent="0.25">
      <c r="A22" s="153" t="s">
        <v>305</v>
      </c>
      <c r="B22" s="153" t="s">
        <v>612</v>
      </c>
    </row>
    <row r="23" spans="1:2" x14ac:dyDescent="0.25">
      <c r="A23" s="153" t="s">
        <v>287</v>
      </c>
      <c r="B23" s="153" t="s">
        <v>587</v>
      </c>
    </row>
    <row r="24" spans="1:2" x14ac:dyDescent="0.25">
      <c r="A24" s="153" t="s">
        <v>306</v>
      </c>
      <c r="B24" s="153">
        <v>126</v>
      </c>
    </row>
    <row r="25" spans="1:2" x14ac:dyDescent="0.25">
      <c r="A25" s="154" t="s">
        <v>307</v>
      </c>
      <c r="B25" s="171">
        <v>46203</v>
      </c>
    </row>
    <row r="26" spans="1:2" x14ac:dyDescent="0.25">
      <c r="A26" s="154" t="s">
        <v>308</v>
      </c>
      <c r="B26" s="156" t="s">
        <v>611</v>
      </c>
    </row>
    <row r="27" spans="1:2" x14ac:dyDescent="0.25">
      <c r="A27" s="156" t="str">
        <f>CONCATENATE("Стоимость проекта в прогнозных ценах, млн. руб. с НДС")</f>
        <v>Стоимость проекта в прогнозных ценах, млн. руб. с НДС</v>
      </c>
      <c r="B27" s="167">
        <v>1203.3446122982321</v>
      </c>
    </row>
    <row r="28" spans="1:2" ht="93.75" customHeight="1" x14ac:dyDescent="0.25">
      <c r="A28" s="155" t="s">
        <v>309</v>
      </c>
      <c r="B28" s="158" t="s">
        <v>588</v>
      </c>
    </row>
    <row r="29" spans="1:2" ht="28.5" x14ac:dyDescent="0.25">
      <c r="A29" s="156" t="s">
        <v>310</v>
      </c>
      <c r="B29" s="167">
        <f>'7. Паспорт отчет о закупке'!$AB$26*1.2/1000</f>
        <v>892.75829863400008</v>
      </c>
    </row>
    <row r="30" spans="1:2" ht="28.5" x14ac:dyDescent="0.25">
      <c r="A30" s="156" t="s">
        <v>311</v>
      </c>
      <c r="B30" s="167">
        <f>'7. Паспорт отчет о закупке'!$AD$26/1000</f>
        <v>892.75829863400008</v>
      </c>
    </row>
    <row r="31" spans="1:2" x14ac:dyDescent="0.25">
      <c r="A31" s="155" t="s">
        <v>312</v>
      </c>
      <c r="B31" s="157"/>
    </row>
    <row r="32" spans="1:2" ht="28.5" x14ac:dyDescent="0.25">
      <c r="A32" s="156" t="s">
        <v>313</v>
      </c>
      <c r="B32" s="167">
        <f>SUM(SUMIF(B33,"&gt;0",B33),SUMIF(B37,"&gt;0",B37),SUMIF(B41,"&gt;0",B41),SUMIF(B45,"&gt;0",B45),SUMIF(B49,"&gt;0",B49),SUMIF(B53,"&gt;0",B53))</f>
        <v>302.03769</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f>IF(VLOOKUP(2,'7. Паспорт отчет о закупке'!$A$27:$CD$86,52,0)="ИП",VLOOKUP(2,'7. Паспорт отчет о закупке'!$A$27:$CD$86,30,0)/1000,"нд")</f>
        <v>9.6</v>
      </c>
    </row>
    <row r="38" spans="1:2" x14ac:dyDescent="0.25">
      <c r="A38" s="164" t="s">
        <v>314</v>
      </c>
      <c r="B38" s="157">
        <f>IF(B37="нд","нд",$B37/$B$27*100)</f>
        <v>0.79777645587869006</v>
      </c>
    </row>
    <row r="39" spans="1:2" x14ac:dyDescent="0.25">
      <c r="A39" s="164" t="s">
        <v>315</v>
      </c>
      <c r="B39" s="157">
        <f>IF(VLOOKUP(2,'7. Паспорт отчет о закупке'!$A$27:$CD$86,52,0)="ИП",VLOOKUP(2,'7. Паспорт отчет о закупке'!$A$27:$CD$86,51,0)/1000,"нд")</f>
        <v>10.32</v>
      </c>
    </row>
    <row r="40" spans="1:2" x14ac:dyDescent="0.25">
      <c r="A40" s="164" t="s">
        <v>436</v>
      </c>
      <c r="B40" s="157">
        <f>IF(VLOOKUP(2,'7. Паспорт отчет о закупке'!$A$27:$CD$86,52,0)="ИП",VLOOKUP(2,'7. Паспорт отчет о закупке'!$A$27:$CD$86,50,0)/1000,"нд")</f>
        <v>8.6</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f>IF(VLOOKUP(5,'7. Паспорт отчет о закупке'!$A$27:$CD$86,52,0)="ИП",VLOOKUP(5,'7. Паспорт отчет о закупке'!$A$27:$CD$86,30,0)/1000,"нд")</f>
        <v>292.43768999999998</v>
      </c>
    </row>
    <row r="50" spans="1:2" x14ac:dyDescent="0.25">
      <c r="A50" s="164" t="s">
        <v>314</v>
      </c>
      <c r="B50" s="157">
        <f>IF(B49="нд","нд",$B49/$B$27*100)</f>
        <v>24.302073322244901</v>
      </c>
    </row>
    <row r="51" spans="1:2" x14ac:dyDescent="0.25">
      <c r="A51" s="164" t="s">
        <v>315</v>
      </c>
      <c r="B51" s="157">
        <f>IF(VLOOKUP(5,'7. Паспорт отчет о закупке'!$A$27:$CD$86,52,0)="ИП",VLOOKUP(5,'7. Паспорт отчет о закупке'!$A$27:$CD$86,51,0)/1000,"нд")</f>
        <v>241.72399424</v>
      </c>
    </row>
    <row r="52" spans="1:2" x14ac:dyDescent="0.25">
      <c r="A52" s="164" t="s">
        <v>436</v>
      </c>
      <c r="B52" s="157">
        <f>IF(VLOOKUP(5,'7. Паспорт отчет о закупке'!$A$27:$CD$86,52,0)="ИП",VLOOKUP(5,'7. Паспорт отчет о закупке'!$A$27:$CD$86,50,0)/1000,"нд")</f>
        <v>191.55518772999997</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322.76274599999999</v>
      </c>
    </row>
    <row r="58" spans="1:2" ht="30" x14ac:dyDescent="0.25">
      <c r="A58" s="164" t="s">
        <v>432</v>
      </c>
      <c r="B58" s="157">
        <f>IF(VLOOKUP(1,'7. Паспорт отчет о закупке'!$A$27:$CD$86,52,0)="ПД",VLOOKUP(1,'7. Паспорт отчет о закупке'!$A$27:$CD$86,30,0)/1000,"нд")</f>
        <v>288</v>
      </c>
    </row>
    <row r="59" spans="1:2" x14ac:dyDescent="0.25">
      <c r="A59" s="164" t="s">
        <v>314</v>
      </c>
      <c r="B59" s="157">
        <f>IF(B58="нд","нд",$B58/$B$27*100)</f>
        <v>23.933293676360705</v>
      </c>
    </row>
    <row r="60" spans="1:2" x14ac:dyDescent="0.25">
      <c r="A60" s="164" t="s">
        <v>315</v>
      </c>
      <c r="B60" s="157">
        <f>IF(VLOOKUP(1,'7. Паспорт отчет о закупке'!$A$27:$CD$86,52,0)="ПД",VLOOKUP(1,'7. Паспорт отчет о закупке'!$A$27:$CD$86,51,0)/1000,"нд")</f>
        <v>287.00400000000002</v>
      </c>
    </row>
    <row r="61" spans="1:2" x14ac:dyDescent="0.25">
      <c r="A61" s="164" t="s">
        <v>436</v>
      </c>
      <c r="B61" s="157">
        <f>IF(VLOOKUP(1,'7. Паспорт отчет о закупке'!$A$27:$CD$86,52,0)="ПД",VLOOKUP(1,'7. Паспорт отчет о закупке'!$A$27:$CD$86,50,0)/1000,"нд")</f>
        <v>239.17</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f>IF(VLOOKUP(3,'7. Паспорт отчет о закупке'!$A$27:$CD$86,52,0)="ПД",VLOOKUP(3,'7. Паспорт отчет о закупке'!$A$27:$CD$86,30,0)/1000,"нд")</f>
        <v>32.362746000000001</v>
      </c>
    </row>
    <row r="67" spans="1:2" x14ac:dyDescent="0.25">
      <c r="A67" s="164" t="s">
        <v>314</v>
      </c>
      <c r="B67" s="157">
        <f>IF(B66="нд","нд",$B66/$B$27*100)</f>
        <v>2.6893996673314851</v>
      </c>
    </row>
    <row r="68" spans="1:2" x14ac:dyDescent="0.25">
      <c r="A68" s="164" t="s">
        <v>315</v>
      </c>
      <c r="B68" s="157">
        <f>IF(VLOOKUP(3,'7. Паспорт отчет о закупке'!$A$27:$CD$86,52,0)="ПД",VLOOKUP(3,'7. Паспорт отчет о закупке'!$A$27:$CD$86,51,0)/1000,"нд")</f>
        <v>32.362746000000001</v>
      </c>
    </row>
    <row r="69" spans="1:2" x14ac:dyDescent="0.25">
      <c r="A69" s="164" t="s">
        <v>436</v>
      </c>
      <c r="B69" s="157">
        <f>IF(VLOOKUP(3,'7. Паспорт отчет о закупке'!$A$27:$CD$86,52,0)="ПД",VLOOKUP(3,'7. Паспорт отчет о закупке'!$A$27:$CD$86,50,0)/1000,"нд")</f>
        <v>26.968954999999998</v>
      </c>
    </row>
    <row r="70" spans="1:2" ht="30" x14ac:dyDescent="0.25">
      <c r="A70" s="164" t="s">
        <v>432</v>
      </c>
      <c r="B70" s="157">
        <f>IF(VLOOKUP(4,'7. Паспорт отчет о закупке'!$A$27:$CD$86,52,0)="ПД",VLOOKUP(4,'7. Паспорт отчет о закупке'!$A$27:$CD$86,30,0)/1000,"нд")</f>
        <v>2.4</v>
      </c>
    </row>
    <row r="71" spans="1:2" x14ac:dyDescent="0.25">
      <c r="A71" s="164" t="s">
        <v>314</v>
      </c>
      <c r="B71" s="157">
        <f>IF(B70="нд","нд",$B70/$B$27*100)</f>
        <v>0.19944411396967252</v>
      </c>
    </row>
    <row r="72" spans="1:2" x14ac:dyDescent="0.25">
      <c r="A72" s="164" t="s">
        <v>315</v>
      </c>
      <c r="B72" s="157">
        <f>IF(VLOOKUP(4,'7. Паспорт отчет о закупке'!$A$27:$CD$86,52,0)="ПД",VLOOKUP(4,'7. Паспорт отчет о закупке'!$A$27:$CD$86,51,0)/1000,"нд")</f>
        <v>2.4</v>
      </c>
    </row>
    <row r="73" spans="1:2" x14ac:dyDescent="0.25">
      <c r="A73" s="164" t="s">
        <v>436</v>
      </c>
      <c r="B73" s="157">
        <f>IF(VLOOKUP(4,'7. Паспорт отчет о закупке'!$A$27:$CD$86,52,0)="ПД",VLOOKUP(4,'7. Паспорт отчет о закупке'!$A$27:$CD$86,50,0)/1000,"нд")</f>
        <v>2</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39.041459331981109</v>
      </c>
      <c r="C85" s="188"/>
      <c r="D85" s="189"/>
      <c r="E85" s="188"/>
      <c r="F85" s="188"/>
      <c r="G85" s="188"/>
    </row>
    <row r="86" spans="1:7" x14ac:dyDescent="0.25">
      <c r="A86" s="159" t="s">
        <v>320</v>
      </c>
      <c r="B86" s="162">
        <f>SUMIF('7. Паспорт отчет о закупке'!$BA$27:$BA$86,"ТМЦ",'7. Паспорт отчет о закупке'!$AD$27:$AD$86)/1000/$B$27*100</f>
        <v>34.309011814288112</v>
      </c>
      <c r="C86" s="188"/>
      <c r="D86" s="189"/>
      <c r="E86" s="188"/>
      <c r="F86" s="188"/>
      <c r="G86" s="188"/>
    </row>
    <row r="87" spans="1:7" x14ac:dyDescent="0.25">
      <c r="A87" s="159" t="s">
        <v>321</v>
      </c>
      <c r="B87" s="162">
        <f>SUMIF('7. Паспорт отчет о закупке'!$BA$27:$BA$86,"ПИР",'7. Паспорт отчет о закупке'!$AD$27:$AD$86)/1000/$B$27*100</f>
        <v>0.79777645587869006</v>
      </c>
      <c r="C87" s="188"/>
      <c r="D87" s="189"/>
      <c r="E87" s="188"/>
      <c r="F87" s="188"/>
      <c r="G87" s="188"/>
    </row>
    <row r="88" spans="1:7" ht="30" x14ac:dyDescent="0.25">
      <c r="A88" s="154" t="s">
        <v>438</v>
      </c>
      <c r="B88" s="167">
        <v>13.380719099450658</v>
      </c>
      <c r="C88" s="188"/>
      <c r="D88" s="188"/>
      <c r="E88" s="188"/>
      <c r="F88" s="188"/>
      <c r="G88" s="188"/>
    </row>
    <row r="89" spans="1:7" x14ac:dyDescent="0.25">
      <c r="A89" s="154" t="s">
        <v>322</v>
      </c>
      <c r="B89" s="167">
        <f>'6.2. Паспорт фин осв ввод'!D24-'6.2. Паспорт фин осв ввод'!E24</f>
        <v>665.45520084975487</v>
      </c>
    </row>
    <row r="90" spans="1:7" x14ac:dyDescent="0.25">
      <c r="A90" s="154" t="s">
        <v>435</v>
      </c>
      <c r="B90" s="167">
        <f>IFERROR(SUM(B91*1.2/$B$27*100),0)</f>
        <v>53.769620828089273</v>
      </c>
    </row>
    <row r="91" spans="1:7" x14ac:dyDescent="0.25">
      <c r="A91" s="154" t="s">
        <v>440</v>
      </c>
      <c r="B91" s="167">
        <f>'6.2. Паспорт фин осв ввод'!D34-'6.2. Паспорт фин осв ввод'!E34</f>
        <v>539.19486274000019</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"ПАРТНЕР-ТТ", ТМЦ, Поставка трансформаторов ТРДЦН ПС Строительная 220 кВ, договор № ПД-23-00119 от 20.04.2023
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ОБЩЕСТВО С ОГРАНИЧЕННОЙ ОТВЕТСТВЕННОСТЬЮ "ИНЖЕНЕРНЫЙ ЦЕНТР СИБИРИ", ТМЦ, Поставка реакторов и оборудования к ним, договор № ПД-23-00310 от 24.10.2023
ОБЩЕСТВО С ОГРАНИЧЕННОЙ ОТВЕТСТВЕННОСТЬЮ ТК "ЭНЕРГООБОРУДОВАНИЕ", ТМЦ, Поставка трансформаторов собственных нужд, договор № ПД-23-00311 от 20.10.2023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
ООО «ЭКРА-ВОСТОК», ТМЦ, Поставка шкафов защит, договор № ПД-24-00091 от 02.05.2024
ОБЩЕСТВО С ОГРАНИЧЕННОЙ ОТВЕТСТВЕННОСТЬЮ "ВЕЛЛЭНЕРДЖИ", ТМЦ, Поставка токопровода, договор № ПД-24-00100 от 15.05.2024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
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ИП-24-00160 от 30.07.2024
-, нд, Выполнение   строительно-монтажных и пусконаладочных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договор № Закупочная процедура признана несостоявшейся
АКЦИОНЕРНОЕ ОБЩЕСТВО "РЕМОНТЭНЕРГОМОНТАЖ И СЕРВИС", СМР, 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 договор № ИП-25-00120 от 10.04.2025
ОБЩЕСТВО С ОГРАНИЧЕННОЙ ОТВЕТСТВЕННОСТЬЮ "ИНЖЕНЕРНЫЙ ЦЕНТР СИБИРИ", ТМЦ, Поставка реакторов токоограничивающих, договор № ПД-23-00320 от 25.10.2023
АКЦИОНЕРНОЕ ОБЩЕСТВО "РЕМОНТЭНЕРГОМОНТАЖ И СЕРВИС, СМР, Выполнение дополнительных строительно-монтажных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 договор № ИП-25-00120-ДС002 от 25.08.2025
ООО «СмартСтафф» , Работы, Выполнение погрузочно – разгрузочных работ, договор № ИП-25-00331 от 23.09.2025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трансформаторов ТРДЦН ПС Строительная 220 кВ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30.12.2023
28.12.2023
28.12.2023
30.08.2024
30.10.2025
28.12.2023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M_00.0014.000014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60" x14ac:dyDescent="0.2">
      <c r="A22" s="316" t="s">
        <v>63</v>
      </c>
      <c r="B22" s="317" t="s">
        <v>600</v>
      </c>
      <c r="C22" s="315" t="s">
        <v>615</v>
      </c>
      <c r="D22" s="315" t="s">
        <v>616</v>
      </c>
      <c r="E22" s="315" t="s">
        <v>617</v>
      </c>
      <c r="F22" s="315" t="s">
        <v>618</v>
      </c>
      <c r="G22" s="137" t="s">
        <v>372</v>
      </c>
      <c r="H22" s="138">
        <v>2.9539</v>
      </c>
      <c r="I22" s="138">
        <v>0.437</v>
      </c>
      <c r="J22" s="138">
        <v>2.5169000000000001</v>
      </c>
      <c r="K22" s="138">
        <v>10</v>
      </c>
      <c r="L22" s="138">
        <v>3</v>
      </c>
      <c r="M22" s="138" t="s">
        <v>424</v>
      </c>
      <c r="N22" s="138" t="s">
        <v>424</v>
      </c>
      <c r="O22" s="138" t="s">
        <v>424</v>
      </c>
      <c r="P22" s="138" t="s">
        <v>424</v>
      </c>
      <c r="Q22" s="139" t="s">
        <v>424</v>
      </c>
      <c r="R22" s="139" t="s">
        <v>613</v>
      </c>
      <c r="S22" s="138">
        <v>1.286</v>
      </c>
      <c r="T22" s="26"/>
      <c r="U22" s="26"/>
      <c r="V22" s="26"/>
      <c r="W22" s="26"/>
      <c r="X22" s="26"/>
      <c r="Y22" s="26"/>
      <c r="Z22" s="25"/>
      <c r="AA22" s="25"/>
      <c r="AB22" s="25"/>
    </row>
    <row r="23" spans="1:28" s="2" customFormat="1" ht="30" x14ac:dyDescent="0.2">
      <c r="A23" s="316"/>
      <c r="B23" s="318"/>
      <c r="C23" s="315"/>
      <c r="D23" s="315"/>
      <c r="E23" s="315"/>
      <c r="F23" s="315"/>
      <c r="G23" s="140" t="s">
        <v>602</v>
      </c>
      <c r="H23" s="139">
        <v>2.9539</v>
      </c>
      <c r="I23" s="139">
        <v>0.437</v>
      </c>
      <c r="J23" s="139">
        <v>2.5169000000000001</v>
      </c>
      <c r="K23" s="139">
        <v>10</v>
      </c>
      <c r="L23" s="139">
        <v>3</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75" x14ac:dyDescent="0.2">
      <c r="A25" s="316" t="s">
        <v>61</v>
      </c>
      <c r="B25" s="317" t="s">
        <v>601</v>
      </c>
      <c r="C25" s="315" t="s">
        <v>619</v>
      </c>
      <c r="D25" s="315" t="s">
        <v>620</v>
      </c>
      <c r="E25" s="315" t="s">
        <v>621</v>
      </c>
      <c r="F25" s="315" t="s">
        <v>622</v>
      </c>
      <c r="G25" s="137" t="s">
        <v>372</v>
      </c>
      <c r="H25" s="138">
        <v>16.576280000000001</v>
      </c>
      <c r="I25" s="138">
        <v>4.2762799999999999</v>
      </c>
      <c r="J25" s="138">
        <v>12.3</v>
      </c>
      <c r="K25" s="138">
        <v>10</v>
      </c>
      <c r="L25" s="138">
        <v>2</v>
      </c>
      <c r="M25" s="138" t="s">
        <v>424</v>
      </c>
      <c r="N25" s="138" t="s">
        <v>424</v>
      </c>
      <c r="O25" s="138" t="s">
        <v>424</v>
      </c>
      <c r="P25" s="138" t="s">
        <v>424</v>
      </c>
      <c r="Q25" s="139" t="s">
        <v>424</v>
      </c>
      <c r="R25" s="139" t="s">
        <v>614</v>
      </c>
      <c r="S25" s="138">
        <v>1.645</v>
      </c>
      <c r="T25" s="26"/>
      <c r="U25" s="26"/>
      <c r="V25" s="26"/>
      <c r="W25" s="26"/>
      <c r="X25" s="25"/>
      <c r="Y25" s="25"/>
      <c r="Z25" s="25"/>
      <c r="AA25" s="25"/>
      <c r="AB25" s="25"/>
    </row>
    <row r="26" spans="1:28" s="2" customFormat="1" ht="30" x14ac:dyDescent="0.2">
      <c r="A26" s="316"/>
      <c r="B26" s="318"/>
      <c r="C26" s="315"/>
      <c r="D26" s="315"/>
      <c r="E26" s="315"/>
      <c r="F26" s="315"/>
      <c r="G26" s="140" t="s">
        <v>603</v>
      </c>
      <c r="H26" s="139">
        <v>16.576280000000001</v>
      </c>
      <c r="I26" s="139">
        <v>4.2762799999999999</v>
      </c>
      <c r="J26" s="139">
        <v>12.3</v>
      </c>
      <c r="K26" s="139">
        <v>10</v>
      </c>
      <c r="L26" s="139">
        <v>2</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30" x14ac:dyDescent="0.2">
      <c r="A27" s="316"/>
      <c r="B27" s="319"/>
      <c r="C27" s="315"/>
      <c r="D27" s="315"/>
      <c r="E27" s="315"/>
      <c r="F27" s="315"/>
      <c r="G27" s="140" t="s">
        <v>604</v>
      </c>
      <c r="H27" s="139">
        <v>16.576280000000001</v>
      </c>
      <c r="I27" s="139">
        <v>4.2762799999999999</v>
      </c>
      <c r="J27" s="139">
        <v>12.3</v>
      </c>
      <c r="K27" s="139">
        <v>10</v>
      </c>
      <c r="L27" s="139">
        <v>2</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19.530180000000001</v>
      </c>
      <c r="I37" s="139">
        <f t="shared" ref="I37:J37" si="0">SUMIFS(I$22:I$36,$G$22:$G$36,"Всего по всем точкам присоединения, 
в том числе:")</f>
        <v>4.7132800000000001</v>
      </c>
      <c r="J37" s="139">
        <f t="shared" si="0"/>
        <v>14.8169</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2.931</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22"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M_00.0014.000014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607</v>
      </c>
      <c r="C25" s="150" t="s">
        <v>607</v>
      </c>
      <c r="D25" s="150" t="s">
        <v>105</v>
      </c>
      <c r="E25" s="150" t="s">
        <v>623</v>
      </c>
      <c r="F25" s="150" t="s">
        <v>424</v>
      </c>
      <c r="G25" s="150" t="s">
        <v>624</v>
      </c>
      <c r="H25" s="150" t="s">
        <v>624</v>
      </c>
      <c r="I25" s="150">
        <v>1992</v>
      </c>
      <c r="J25" s="150" t="s">
        <v>424</v>
      </c>
      <c r="K25" s="150">
        <v>1994</v>
      </c>
      <c r="L25" s="150">
        <v>220</v>
      </c>
      <c r="M25" s="150">
        <v>220</v>
      </c>
      <c r="N25" s="150">
        <v>40</v>
      </c>
      <c r="O25" s="150">
        <v>63</v>
      </c>
      <c r="P25" s="235" t="s">
        <v>424</v>
      </c>
      <c r="Q25" s="150" t="s">
        <v>424</v>
      </c>
      <c r="R25" s="150" t="s">
        <v>424</v>
      </c>
      <c r="S25" s="150" t="s">
        <v>424</v>
      </c>
      <c r="T25" s="150" t="s">
        <v>424</v>
      </c>
    </row>
    <row r="26" spans="1:20" s="151" customFormat="1" ht="112.5" customHeight="1" x14ac:dyDescent="0.25">
      <c r="A26" s="150">
        <v>2</v>
      </c>
      <c r="B26" s="150" t="s">
        <v>607</v>
      </c>
      <c r="C26" s="150" t="s">
        <v>607</v>
      </c>
      <c r="D26" s="150" t="s">
        <v>105</v>
      </c>
      <c r="E26" s="150" t="s">
        <v>623</v>
      </c>
      <c r="F26" s="150" t="s">
        <v>424</v>
      </c>
      <c r="G26" s="150" t="s">
        <v>625</v>
      </c>
      <c r="H26" s="150" t="s">
        <v>625</v>
      </c>
      <c r="I26" s="150">
        <v>1991</v>
      </c>
      <c r="J26" s="150" t="s">
        <v>424</v>
      </c>
      <c r="K26" s="150">
        <v>1993</v>
      </c>
      <c r="L26" s="150">
        <v>220</v>
      </c>
      <c r="M26" s="150">
        <v>220</v>
      </c>
      <c r="N26" s="150">
        <v>40</v>
      </c>
      <c r="O26" s="150">
        <v>63</v>
      </c>
      <c r="P26" s="150" t="s">
        <v>424</v>
      </c>
      <c r="Q26" s="150" t="s">
        <v>424</v>
      </c>
      <c r="R26" s="150" t="s">
        <v>424</v>
      </c>
      <c r="S26" s="150" t="s">
        <v>424</v>
      </c>
      <c r="T26" s="150" t="s">
        <v>424</v>
      </c>
    </row>
    <row r="27" spans="1:20" s="151" customFormat="1" ht="112.5" customHeight="1" x14ac:dyDescent="0.25">
      <c r="A27" s="150">
        <v>3</v>
      </c>
      <c r="B27" s="150" t="s">
        <v>607</v>
      </c>
      <c r="C27" s="150" t="s">
        <v>607</v>
      </c>
      <c r="D27" s="150" t="s">
        <v>626</v>
      </c>
      <c r="E27" s="150" t="s">
        <v>627</v>
      </c>
      <c r="F27" s="150" t="s">
        <v>424</v>
      </c>
      <c r="G27" s="150" t="s">
        <v>626</v>
      </c>
      <c r="H27" s="150" t="s">
        <v>424</v>
      </c>
      <c r="I27" s="150">
        <v>1992</v>
      </c>
      <c r="J27" s="150" t="s">
        <v>424</v>
      </c>
      <c r="K27" s="150">
        <v>1992</v>
      </c>
      <c r="L27" s="150" t="s">
        <v>628</v>
      </c>
      <c r="M27" s="150" t="s">
        <v>424</v>
      </c>
      <c r="N27" s="150" t="s">
        <v>424</v>
      </c>
      <c r="O27" s="150" t="s">
        <v>424</v>
      </c>
      <c r="P27" s="150">
        <v>2019</v>
      </c>
      <c r="Q27" s="150" t="s">
        <v>629</v>
      </c>
      <c r="R27" s="150" t="s">
        <v>630</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M_00.0014.000014</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M_00.0014.000014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605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606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607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608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609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610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44757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611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M_00.0014.000014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M_00.0014.000014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M_00.0014.000014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6"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M_00.0014.000014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44757</v>
      </c>
      <c r="D25" s="285">
        <v>45777</v>
      </c>
      <c r="E25" s="285">
        <v>44757</v>
      </c>
      <c r="F25" s="285">
        <v>45777</v>
      </c>
      <c r="G25" s="286">
        <v>1</v>
      </c>
      <c r="H25" s="286">
        <v>0.2</v>
      </c>
      <c r="I25" s="280" t="s">
        <v>589</v>
      </c>
      <c r="J25" s="280" t="s">
        <v>424</v>
      </c>
      <c r="L25" s="246"/>
      <c r="N25" s="238" t="str">
        <f>CONCATENATE($A$12,A25)</f>
        <v>M_00.0014.0000141</v>
      </c>
    </row>
    <row r="26" spans="1:14" x14ac:dyDescent="0.25">
      <c r="A26" s="281" t="s">
        <v>450</v>
      </c>
      <c r="B26" s="281" t="s">
        <v>451</v>
      </c>
      <c r="C26" s="285">
        <v>45274</v>
      </c>
      <c r="D26" s="285">
        <v>45777</v>
      </c>
      <c r="E26" s="285">
        <v>45274</v>
      </c>
      <c r="F26" s="285">
        <v>45777</v>
      </c>
      <c r="G26" s="286">
        <v>1</v>
      </c>
      <c r="H26" s="286">
        <v>1</v>
      </c>
      <c r="I26" s="280" t="s">
        <v>590</v>
      </c>
      <c r="J26" s="281" t="s">
        <v>424</v>
      </c>
      <c r="N26" s="238" t="str">
        <f t="shared" ref="N26:N54" si="0">CONCATENATE($A$12,A26)</f>
        <v>M_00.0014.0000141.1.</v>
      </c>
    </row>
    <row r="27" spans="1:14" x14ac:dyDescent="0.25">
      <c r="A27" s="281" t="s">
        <v>452</v>
      </c>
      <c r="B27" s="281" t="s">
        <v>453</v>
      </c>
      <c r="C27" s="285" t="s">
        <v>424</v>
      </c>
      <c r="D27" s="285" t="s">
        <v>424</v>
      </c>
      <c r="E27" s="285" t="s">
        <v>424</v>
      </c>
      <c r="F27" s="285" t="s">
        <v>424</v>
      </c>
      <c r="G27" s="286" t="s">
        <v>424</v>
      </c>
      <c r="H27" s="286" t="s">
        <v>424</v>
      </c>
      <c r="I27" s="280" t="s">
        <v>554</v>
      </c>
      <c r="J27" s="281" t="s">
        <v>424</v>
      </c>
      <c r="N27" s="238" t="str">
        <f t="shared" si="0"/>
        <v>M_00.0014.0000141.2.</v>
      </c>
    </row>
    <row r="28" spans="1:14" ht="31.5" x14ac:dyDescent="0.25">
      <c r="A28" s="281" t="s">
        <v>454</v>
      </c>
      <c r="B28" s="281" t="s">
        <v>455</v>
      </c>
      <c r="C28" s="285" t="s">
        <v>424</v>
      </c>
      <c r="D28" s="285" t="s">
        <v>424</v>
      </c>
      <c r="E28" s="285" t="s">
        <v>424</v>
      </c>
      <c r="F28" s="285" t="s">
        <v>424</v>
      </c>
      <c r="G28" s="286" t="s">
        <v>424</v>
      </c>
      <c r="H28" s="286" t="s">
        <v>424</v>
      </c>
      <c r="I28" s="280" t="s">
        <v>554</v>
      </c>
      <c r="J28" s="281" t="s">
        <v>424</v>
      </c>
      <c r="N28" s="238" t="str">
        <f t="shared" si="0"/>
        <v>M_00.0014.0000141.2.1.</v>
      </c>
    </row>
    <row r="29" spans="1:14" x14ac:dyDescent="0.25">
      <c r="A29" s="281" t="s">
        <v>456</v>
      </c>
      <c r="B29" s="281" t="s">
        <v>457</v>
      </c>
      <c r="C29" s="285" t="s">
        <v>424</v>
      </c>
      <c r="D29" s="285" t="s">
        <v>424</v>
      </c>
      <c r="E29" s="285" t="s">
        <v>424</v>
      </c>
      <c r="F29" s="285" t="s">
        <v>424</v>
      </c>
      <c r="G29" s="286" t="s">
        <v>424</v>
      </c>
      <c r="H29" s="286" t="s">
        <v>424</v>
      </c>
      <c r="I29" s="280" t="s">
        <v>554</v>
      </c>
      <c r="J29" s="281" t="s">
        <v>424</v>
      </c>
      <c r="N29" s="238" t="str">
        <f t="shared" si="0"/>
        <v>M_00.0014.0000141.3.</v>
      </c>
    </row>
    <row r="30" spans="1:14" x14ac:dyDescent="0.25">
      <c r="A30" s="281" t="s">
        <v>458</v>
      </c>
      <c r="B30" s="281" t="s">
        <v>459</v>
      </c>
      <c r="C30" s="285" t="s">
        <v>424</v>
      </c>
      <c r="D30" s="285" t="s">
        <v>424</v>
      </c>
      <c r="E30" s="285" t="s">
        <v>424</v>
      </c>
      <c r="F30" s="285" t="s">
        <v>424</v>
      </c>
      <c r="G30" s="286" t="s">
        <v>424</v>
      </c>
      <c r="H30" s="286" t="s">
        <v>424</v>
      </c>
      <c r="I30" s="280" t="s">
        <v>554</v>
      </c>
      <c r="J30" s="281" t="s">
        <v>424</v>
      </c>
      <c r="N30" s="238" t="str">
        <f t="shared" si="0"/>
        <v>M_00.0014.0000141.4.</v>
      </c>
    </row>
    <row r="31" spans="1:14" x14ac:dyDescent="0.25">
      <c r="A31" s="281" t="s">
        <v>460</v>
      </c>
      <c r="B31" s="281" t="s">
        <v>461</v>
      </c>
      <c r="C31" s="285">
        <v>44757</v>
      </c>
      <c r="D31" s="285">
        <v>45142</v>
      </c>
      <c r="E31" s="285">
        <v>44757</v>
      </c>
      <c r="F31" s="285">
        <v>45142</v>
      </c>
      <c r="G31" s="286">
        <v>1</v>
      </c>
      <c r="H31" s="286" t="s">
        <v>654</v>
      </c>
      <c r="I31" s="280" t="s">
        <v>554</v>
      </c>
      <c r="J31" s="281" t="s">
        <v>424</v>
      </c>
      <c r="N31" s="238" t="str">
        <f t="shared" si="0"/>
        <v>M_00.0014.0000141.5.</v>
      </c>
    </row>
    <row r="32" spans="1:14" x14ac:dyDescent="0.25">
      <c r="A32" s="281" t="s">
        <v>462</v>
      </c>
      <c r="B32" s="281" t="s">
        <v>463</v>
      </c>
      <c r="C32" s="285">
        <v>44977</v>
      </c>
      <c r="D32" s="285">
        <v>45628</v>
      </c>
      <c r="E32" s="285">
        <v>44977</v>
      </c>
      <c r="F32" s="285">
        <v>45628</v>
      </c>
      <c r="G32" s="286">
        <v>1</v>
      </c>
      <c r="H32" s="286" t="s">
        <v>654</v>
      </c>
      <c r="I32" s="280" t="s">
        <v>554</v>
      </c>
      <c r="J32" s="281" t="s">
        <v>424</v>
      </c>
      <c r="N32" s="238" t="str">
        <f t="shared" si="0"/>
        <v>M_00.0014.0000141.6.</v>
      </c>
    </row>
    <row r="33" spans="1:14" ht="31.5" x14ac:dyDescent="0.25">
      <c r="A33" s="281" t="s">
        <v>464</v>
      </c>
      <c r="B33" s="281" t="s">
        <v>465</v>
      </c>
      <c r="C33" s="285" t="s">
        <v>424</v>
      </c>
      <c r="D33" s="285" t="s">
        <v>424</v>
      </c>
      <c r="E33" s="285" t="s">
        <v>424</v>
      </c>
      <c r="F33" s="285" t="s">
        <v>424</v>
      </c>
      <c r="G33" s="286" t="s">
        <v>424</v>
      </c>
      <c r="H33" s="286" t="s">
        <v>424</v>
      </c>
      <c r="I33" s="280" t="s">
        <v>554</v>
      </c>
      <c r="J33" s="281" t="s">
        <v>424</v>
      </c>
      <c r="N33" s="238" t="str">
        <f t="shared" si="0"/>
        <v>M_00.0014.0000141.7.</v>
      </c>
    </row>
    <row r="34" spans="1:14" ht="31.5" x14ac:dyDescent="0.25">
      <c r="A34" s="281" t="s">
        <v>466</v>
      </c>
      <c r="B34" s="281" t="s">
        <v>467</v>
      </c>
      <c r="C34" s="285" t="s">
        <v>424</v>
      </c>
      <c r="D34" s="285" t="s">
        <v>424</v>
      </c>
      <c r="E34" s="285" t="s">
        <v>424</v>
      </c>
      <c r="F34" s="285" t="s">
        <v>424</v>
      </c>
      <c r="G34" s="286" t="s">
        <v>424</v>
      </c>
      <c r="H34" s="286" t="s">
        <v>424</v>
      </c>
      <c r="I34" s="280" t="s">
        <v>554</v>
      </c>
      <c r="J34" s="281" t="s">
        <v>424</v>
      </c>
      <c r="N34" s="238" t="str">
        <f t="shared" si="0"/>
        <v>M_00.0014.0000141.8.</v>
      </c>
    </row>
    <row r="35" spans="1:14" x14ac:dyDescent="0.25">
      <c r="A35" s="281" t="s">
        <v>468</v>
      </c>
      <c r="B35" s="281" t="s">
        <v>469</v>
      </c>
      <c r="C35" s="285">
        <v>45624</v>
      </c>
      <c r="D35" s="285">
        <v>45654</v>
      </c>
      <c r="E35" s="285">
        <v>45624</v>
      </c>
      <c r="F35" s="285">
        <v>45654</v>
      </c>
      <c r="G35" s="286">
        <v>1</v>
      </c>
      <c r="H35" s="286" t="s">
        <v>654</v>
      </c>
      <c r="I35" s="280" t="s">
        <v>554</v>
      </c>
      <c r="J35" s="281" t="s">
        <v>424</v>
      </c>
      <c r="N35" s="238" t="str">
        <f t="shared" si="0"/>
        <v>M_00.0014.0000141.9.</v>
      </c>
    </row>
    <row r="36" spans="1:14" x14ac:dyDescent="0.25">
      <c r="A36" s="281" t="s">
        <v>470</v>
      </c>
      <c r="B36" s="281" t="s">
        <v>471</v>
      </c>
      <c r="C36" s="285" t="s">
        <v>424</v>
      </c>
      <c r="D36" s="285" t="s">
        <v>424</v>
      </c>
      <c r="E36" s="285" t="s">
        <v>424</v>
      </c>
      <c r="F36" s="285" t="s">
        <v>424</v>
      </c>
      <c r="G36" s="286" t="s">
        <v>424</v>
      </c>
      <c r="H36" s="286" t="s">
        <v>424</v>
      </c>
      <c r="I36" s="280" t="s">
        <v>554</v>
      </c>
      <c r="J36" s="281" t="s">
        <v>424</v>
      </c>
      <c r="N36" s="238" t="str">
        <f t="shared" si="0"/>
        <v>M_00.0014.0000141.10.</v>
      </c>
    </row>
    <row r="37" spans="1:14" x14ac:dyDescent="0.25">
      <c r="A37" s="281" t="s">
        <v>472</v>
      </c>
      <c r="B37" s="281" t="s">
        <v>473</v>
      </c>
      <c r="C37" s="285">
        <v>45442</v>
      </c>
      <c r="D37" s="285">
        <v>45628</v>
      </c>
      <c r="E37" s="285">
        <v>45442</v>
      </c>
      <c r="F37" s="285">
        <v>45628</v>
      </c>
      <c r="G37" s="286">
        <v>1</v>
      </c>
      <c r="H37" s="286" t="s">
        <v>654</v>
      </c>
      <c r="I37" s="280" t="s">
        <v>554</v>
      </c>
      <c r="J37" s="281" t="s">
        <v>424</v>
      </c>
      <c r="N37" s="238" t="str">
        <f t="shared" si="0"/>
        <v>M_00.0014.0000141.11.</v>
      </c>
    </row>
    <row r="38" spans="1:14" x14ac:dyDescent="0.25">
      <c r="A38" s="280">
        <v>2</v>
      </c>
      <c r="B38" s="280" t="s">
        <v>509</v>
      </c>
      <c r="C38" s="285">
        <v>45036</v>
      </c>
      <c r="D38" s="285">
        <v>46295</v>
      </c>
      <c r="E38" s="285">
        <v>45036</v>
      </c>
      <c r="F38" s="285">
        <v>45427</v>
      </c>
      <c r="G38" s="286">
        <v>0.875</v>
      </c>
      <c r="H38" s="286">
        <v>0</v>
      </c>
      <c r="I38" s="280" t="s">
        <v>589</v>
      </c>
      <c r="J38" s="280" t="s">
        <v>424</v>
      </c>
      <c r="N38" s="238" t="str">
        <f t="shared" si="0"/>
        <v>M_00.0014.0000142</v>
      </c>
    </row>
    <row r="39" spans="1:14" ht="173.25" customHeight="1" x14ac:dyDescent="0.25">
      <c r="A39" s="282" t="s">
        <v>474</v>
      </c>
      <c r="B39" s="281" t="s">
        <v>475</v>
      </c>
      <c r="C39" s="285">
        <v>46235</v>
      </c>
      <c r="D39" s="285">
        <v>46295</v>
      </c>
      <c r="E39" s="285">
        <v>45336</v>
      </c>
      <c r="F39" s="285" t="s">
        <v>424</v>
      </c>
      <c r="G39" s="286" t="s">
        <v>651</v>
      </c>
      <c r="H39" s="286" t="s">
        <v>654</v>
      </c>
      <c r="I39" s="280" t="s">
        <v>591</v>
      </c>
      <c r="J39" s="281" t="s">
        <v>424</v>
      </c>
      <c r="N39" s="238" t="str">
        <f t="shared" si="0"/>
        <v>M_00.0014.0000142.1.</v>
      </c>
    </row>
    <row r="40" spans="1:14" x14ac:dyDescent="0.25">
      <c r="A40" s="282" t="s">
        <v>476</v>
      </c>
      <c r="B40" s="281" t="s">
        <v>477</v>
      </c>
      <c r="C40" s="285">
        <v>45036</v>
      </c>
      <c r="D40" s="285">
        <v>45427</v>
      </c>
      <c r="E40" s="285">
        <v>45036</v>
      </c>
      <c r="F40" s="285">
        <v>45427</v>
      </c>
      <c r="G40" s="286">
        <v>1</v>
      </c>
      <c r="H40" s="286" t="s">
        <v>654</v>
      </c>
      <c r="I40" s="280" t="s">
        <v>554</v>
      </c>
      <c r="J40" s="281" t="s">
        <v>424</v>
      </c>
      <c r="N40" s="238" t="str">
        <f t="shared" si="0"/>
        <v>M_00.0014.0000142.2.</v>
      </c>
    </row>
    <row r="41" spans="1:14" x14ac:dyDescent="0.25">
      <c r="A41" s="280">
        <v>3</v>
      </c>
      <c r="B41" s="280" t="s">
        <v>478</v>
      </c>
      <c r="C41" s="285">
        <v>45291</v>
      </c>
      <c r="D41" s="285">
        <v>46182</v>
      </c>
      <c r="E41" s="285">
        <v>45291</v>
      </c>
      <c r="F41" s="285">
        <v>45868</v>
      </c>
      <c r="G41" s="286">
        <v>0.48</v>
      </c>
      <c r="H41" s="286">
        <v>0.45999999999999996</v>
      </c>
      <c r="I41" s="280" t="s">
        <v>589</v>
      </c>
      <c r="J41" s="280" t="s">
        <v>424</v>
      </c>
      <c r="N41" s="238" t="str">
        <f t="shared" si="0"/>
        <v>M_00.0014.0000143</v>
      </c>
    </row>
    <row r="42" spans="1:14" ht="157.5" x14ac:dyDescent="0.25">
      <c r="A42" s="281" t="s">
        <v>479</v>
      </c>
      <c r="B42" s="281" t="s">
        <v>480</v>
      </c>
      <c r="C42" s="285">
        <v>45602</v>
      </c>
      <c r="D42" s="285">
        <v>45868</v>
      </c>
      <c r="E42" s="285">
        <v>45602</v>
      </c>
      <c r="F42" s="285">
        <v>45868</v>
      </c>
      <c r="G42" s="286">
        <v>1</v>
      </c>
      <c r="H42" s="286" t="s">
        <v>655</v>
      </c>
      <c r="I42" s="280" t="s">
        <v>592</v>
      </c>
      <c r="J42" s="281" t="s">
        <v>424</v>
      </c>
      <c r="N42" s="238" t="str">
        <f t="shared" si="0"/>
        <v>M_00.0014.0000143.1.</v>
      </c>
    </row>
    <row r="43" spans="1:14" x14ac:dyDescent="0.25">
      <c r="A43" s="281" t="s">
        <v>481</v>
      </c>
      <c r="B43" s="281" t="s">
        <v>482</v>
      </c>
      <c r="C43" s="285">
        <v>45291</v>
      </c>
      <c r="D43" s="285">
        <v>45654</v>
      </c>
      <c r="E43" s="285">
        <v>45291</v>
      </c>
      <c r="F43" s="285">
        <v>45654</v>
      </c>
      <c r="G43" s="286">
        <v>1</v>
      </c>
      <c r="H43" s="286" t="s">
        <v>655</v>
      </c>
      <c r="I43" s="280" t="s">
        <v>554</v>
      </c>
      <c r="J43" s="281" t="s">
        <v>424</v>
      </c>
      <c r="N43" s="238" t="str">
        <f t="shared" si="0"/>
        <v>M_00.0014.0000143.2.</v>
      </c>
    </row>
    <row r="44" spans="1:14" ht="94.5" x14ac:dyDescent="0.25">
      <c r="A44" s="281" t="s">
        <v>483</v>
      </c>
      <c r="B44" s="281" t="s">
        <v>484</v>
      </c>
      <c r="C44" s="285">
        <v>45654</v>
      </c>
      <c r="D44" s="285">
        <v>46142</v>
      </c>
      <c r="E44" s="285">
        <v>45654</v>
      </c>
      <c r="F44" s="285" t="s">
        <v>424</v>
      </c>
      <c r="G44" s="286" t="s">
        <v>652</v>
      </c>
      <c r="H44" s="286" t="s">
        <v>656</v>
      </c>
      <c r="I44" s="280" t="s">
        <v>593</v>
      </c>
      <c r="J44" s="281" t="s">
        <v>424</v>
      </c>
      <c r="N44" s="238" t="str">
        <f t="shared" si="0"/>
        <v>M_00.0014.0000143.3.</v>
      </c>
    </row>
    <row r="45" spans="1:14" ht="31.5" x14ac:dyDescent="0.25">
      <c r="A45" s="281" t="s">
        <v>485</v>
      </c>
      <c r="B45" s="281" t="s">
        <v>486</v>
      </c>
      <c r="C45" s="285">
        <v>46102</v>
      </c>
      <c r="D45" s="285">
        <v>46112</v>
      </c>
      <c r="E45" s="285" t="s">
        <v>424</v>
      </c>
      <c r="F45" s="285" t="s">
        <v>424</v>
      </c>
      <c r="G45" s="286" t="s">
        <v>653</v>
      </c>
      <c r="H45" s="286" t="s">
        <v>654</v>
      </c>
      <c r="I45" s="280" t="s">
        <v>554</v>
      </c>
      <c r="J45" s="281" t="s">
        <v>424</v>
      </c>
      <c r="N45" s="238" t="str">
        <f t="shared" si="0"/>
        <v>M_00.0014.0000143.4.</v>
      </c>
    </row>
    <row r="46" spans="1:14" ht="63" x14ac:dyDescent="0.25">
      <c r="A46" s="281" t="s">
        <v>487</v>
      </c>
      <c r="B46" s="281" t="s">
        <v>488</v>
      </c>
      <c r="C46" s="285">
        <v>46172</v>
      </c>
      <c r="D46" s="285">
        <v>46182</v>
      </c>
      <c r="E46" s="285" t="s">
        <v>424</v>
      </c>
      <c r="F46" s="285" t="s">
        <v>424</v>
      </c>
      <c r="G46" s="286" t="s">
        <v>654</v>
      </c>
      <c r="H46" s="286" t="s">
        <v>654</v>
      </c>
      <c r="I46" s="280" t="s">
        <v>554</v>
      </c>
      <c r="J46" s="281" t="s">
        <v>424</v>
      </c>
      <c r="N46" s="238" t="str">
        <f t="shared" si="0"/>
        <v>M_00.0014.0000143.5.</v>
      </c>
    </row>
    <row r="47" spans="1:14" ht="94.5" x14ac:dyDescent="0.25">
      <c r="A47" s="281" t="s">
        <v>489</v>
      </c>
      <c r="B47" s="281" t="s">
        <v>490</v>
      </c>
      <c r="C47" s="285">
        <v>46112</v>
      </c>
      <c r="D47" s="285">
        <v>46172</v>
      </c>
      <c r="E47" s="285" t="s">
        <v>424</v>
      </c>
      <c r="F47" s="285" t="s">
        <v>424</v>
      </c>
      <c r="G47" s="286" t="s">
        <v>424</v>
      </c>
      <c r="H47" s="286" t="s">
        <v>424</v>
      </c>
      <c r="I47" s="280" t="s">
        <v>593</v>
      </c>
      <c r="J47" s="281" t="s">
        <v>424</v>
      </c>
      <c r="N47" s="238" t="str">
        <f t="shared" si="0"/>
        <v>M_00.0014.0000143.6.</v>
      </c>
    </row>
    <row r="48" spans="1:14" x14ac:dyDescent="0.25">
      <c r="A48" s="280">
        <v>4</v>
      </c>
      <c r="B48" s="280" t="s">
        <v>491</v>
      </c>
      <c r="C48" s="285">
        <v>45991</v>
      </c>
      <c r="D48" s="285">
        <v>46203</v>
      </c>
      <c r="E48" s="285" t="s">
        <v>424</v>
      </c>
      <c r="F48" s="285" t="s">
        <v>424</v>
      </c>
      <c r="G48" s="286">
        <v>0</v>
      </c>
      <c r="H48" s="286">
        <v>0</v>
      </c>
      <c r="I48" s="280" t="s">
        <v>589</v>
      </c>
      <c r="J48" s="280" t="s">
        <v>424</v>
      </c>
      <c r="N48" s="238" t="str">
        <f t="shared" si="0"/>
        <v>M_00.0014.0000144</v>
      </c>
    </row>
    <row r="49" spans="1:14" ht="94.5" x14ac:dyDescent="0.25">
      <c r="A49" s="281" t="s">
        <v>492</v>
      </c>
      <c r="B49" s="281" t="s">
        <v>493</v>
      </c>
      <c r="C49" s="285">
        <v>45992</v>
      </c>
      <c r="D49" s="285">
        <v>46174</v>
      </c>
      <c r="E49" s="285" t="s">
        <v>424</v>
      </c>
      <c r="F49" s="285" t="s">
        <v>424</v>
      </c>
      <c r="G49" s="286" t="s">
        <v>424</v>
      </c>
      <c r="H49" s="286" t="s">
        <v>424</v>
      </c>
      <c r="I49" s="280" t="s">
        <v>593</v>
      </c>
      <c r="J49" s="281" t="s">
        <v>424</v>
      </c>
      <c r="N49" s="238" t="str">
        <f t="shared" si="0"/>
        <v>M_00.0014.0000144.1.</v>
      </c>
    </row>
    <row r="50" spans="1:14" ht="47.25" x14ac:dyDescent="0.25">
      <c r="A50" s="281" t="s">
        <v>494</v>
      </c>
      <c r="B50" s="281" t="s">
        <v>495</v>
      </c>
      <c r="C50" s="285" t="s">
        <v>424</v>
      </c>
      <c r="D50" s="285" t="s">
        <v>424</v>
      </c>
      <c r="E50" s="285" t="s">
        <v>424</v>
      </c>
      <c r="F50" s="285" t="s">
        <v>424</v>
      </c>
      <c r="G50" s="286" t="s">
        <v>424</v>
      </c>
      <c r="H50" s="286" t="s">
        <v>424</v>
      </c>
      <c r="I50" s="280" t="s">
        <v>554</v>
      </c>
      <c r="J50" s="281" t="s">
        <v>424</v>
      </c>
      <c r="N50" s="238" t="str">
        <f t="shared" si="0"/>
        <v>M_00.0014.0000144.2.</v>
      </c>
    </row>
    <row r="51" spans="1:14" ht="94.5" x14ac:dyDescent="0.25">
      <c r="A51" s="281" t="s">
        <v>496</v>
      </c>
      <c r="B51" s="281" t="s">
        <v>497</v>
      </c>
      <c r="C51" s="285">
        <v>45991</v>
      </c>
      <c r="D51" s="285">
        <v>46203</v>
      </c>
      <c r="E51" s="285" t="s">
        <v>424</v>
      </c>
      <c r="F51" s="285" t="s">
        <v>424</v>
      </c>
      <c r="G51" s="286" t="s">
        <v>424</v>
      </c>
      <c r="H51" s="286" t="s">
        <v>424</v>
      </c>
      <c r="I51" s="280" t="s">
        <v>593</v>
      </c>
      <c r="J51" s="281" t="s">
        <v>424</v>
      </c>
      <c r="N51" s="238" t="str">
        <f t="shared" si="0"/>
        <v>M_00.0014.0000144.3.</v>
      </c>
    </row>
    <row r="52" spans="1:14" ht="31.5" x14ac:dyDescent="0.25">
      <c r="A52" s="283" t="s">
        <v>498</v>
      </c>
      <c r="B52" s="281" t="s">
        <v>499</v>
      </c>
      <c r="C52" s="285">
        <v>46203</v>
      </c>
      <c r="D52" s="285">
        <v>46203</v>
      </c>
      <c r="E52" s="285" t="s">
        <v>424</v>
      </c>
      <c r="F52" s="285" t="s">
        <v>424</v>
      </c>
      <c r="G52" s="286" t="s">
        <v>654</v>
      </c>
      <c r="H52" s="286" t="s">
        <v>654</v>
      </c>
      <c r="I52" s="280" t="s">
        <v>554</v>
      </c>
      <c r="J52" s="281" t="s">
        <v>424</v>
      </c>
      <c r="N52" s="238" t="str">
        <f t="shared" si="0"/>
        <v>M_00.0014.0000144.4.</v>
      </c>
    </row>
    <row r="53" spans="1:14" ht="94.5" x14ac:dyDescent="0.25">
      <c r="A53" s="281" t="s">
        <v>500</v>
      </c>
      <c r="B53" s="284" t="s">
        <v>501</v>
      </c>
      <c r="C53" s="285">
        <v>45992</v>
      </c>
      <c r="D53" s="285">
        <v>46203</v>
      </c>
      <c r="E53" s="285" t="s">
        <v>424</v>
      </c>
      <c r="F53" s="285" t="s">
        <v>424</v>
      </c>
      <c r="G53" s="286" t="s">
        <v>424</v>
      </c>
      <c r="H53" s="286" t="s">
        <v>424</v>
      </c>
      <c r="I53" s="280" t="s">
        <v>593</v>
      </c>
      <c r="J53" s="281" t="s">
        <v>424</v>
      </c>
      <c r="N53" s="238" t="str">
        <f t="shared" si="0"/>
        <v>M_00.0014.0000144.5.</v>
      </c>
    </row>
    <row r="54" spans="1:14" x14ac:dyDescent="0.25">
      <c r="A54" s="281" t="s">
        <v>502</v>
      </c>
      <c r="B54" s="281" t="s">
        <v>503</v>
      </c>
      <c r="C54" s="285" t="s">
        <v>424</v>
      </c>
      <c r="D54" s="285" t="s">
        <v>424</v>
      </c>
      <c r="E54" s="285" t="s">
        <v>424</v>
      </c>
      <c r="F54" s="285" t="s">
        <v>424</v>
      </c>
      <c r="G54" s="286" t="s">
        <v>424</v>
      </c>
      <c r="H54" s="286" t="s">
        <v>424</v>
      </c>
      <c r="I54" s="280" t="s">
        <v>554</v>
      </c>
      <c r="J54" s="281" t="s">
        <v>424</v>
      </c>
      <c r="N54" s="238" t="str">
        <f t="shared" si="0"/>
        <v>M_00.0014.0000144.6.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2025-11-11T08:02:54Z</dcterms:modified>
</cp:coreProperties>
</file>